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<sst xmlns="http://schemas.openxmlformats.org/spreadsheetml/2006/main" count="632" uniqueCount="335">
  <si>
    <t/>
  </si>
  <si>
    <t>Код по Бюджетной классификации</t>
  </si>
  <si>
    <t>Наименование расхода</t>
  </si>
  <si>
    <t>на год</t>
  </si>
  <si>
    <t>% исполнения</t>
  </si>
  <si>
    <t>от годовых назначений</t>
  </si>
  <si>
    <t>Отклонение</t>
  </si>
  <si>
    <t>1</t>
  </si>
  <si>
    <t>2</t>
  </si>
  <si>
    <t>786 0000 0000000000 000</t>
  </si>
  <si>
    <t>АДМИНИСТРАЦИЯ МО "ВЕЛЬСКОЕ"</t>
  </si>
  <si>
    <t>786 0102 0000000000 000</t>
  </si>
  <si>
    <t>Функционирование высшего должностного лица субъекта Российской Федерации и муниципального образования</t>
  </si>
  <si>
    <t>786 0102 7110090010 000</t>
  </si>
  <si>
    <t>Глава муниципального образования.Расходы на содержание органов местного самоуправления и обеспечение их функций</t>
  </si>
  <si>
    <t>786 0102 7110090010 121</t>
  </si>
  <si>
    <t>Фонд оплаты труда государственных (муниципальных) органов</t>
  </si>
  <si>
    <t>786 0102 7110090010 129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</si>
  <si>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</si>
  <si>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100,00</t>
  </si>
  <si>
    <t>786 0104 0000000000 000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</si>
  <si>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</si>
  <si>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786 0104 6100078793 000</t>
  </si>
  <si>
    <t>Непрограмные расходы в области общегосударственных вопросов; единая субвенция местным бюджетам; осуществление государственных полномочий в сфере административных правонарушений</t>
  </si>
  <si>
    <t>786 0104 6100078793 244</t>
  </si>
  <si>
    <t>Прочая закупка товаров, работ и услуг</t>
  </si>
  <si>
    <t>786 0104 7500090010 000</t>
  </si>
  <si>
    <t>Обеспечение деятельности ОМС. Расходы на содержание ОМС и обеспечение их функций</t>
  </si>
  <si>
    <t>786 0104 7500090010 121</t>
  </si>
  <si>
    <t>786 0104 7500090010 122</t>
  </si>
  <si>
    <t>Иные выплаты персоналу государственных (муниципальных) органов, за исключением фонда оплаты труда</t>
  </si>
  <si>
    <t>786 0104 7500090010 129</t>
  </si>
  <si>
    <t>786 0104 7500090010 244</t>
  </si>
  <si>
    <t>786 0104 7500090010 247</t>
  </si>
  <si>
    <t>Закупка энергетических ресурсов</t>
  </si>
  <si>
    <t>786 0104 7500090010 852</t>
  </si>
  <si>
    <t>Уплата прочих налогов, сборов</t>
  </si>
  <si>
    <t>786 0106 0000000000 000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</si>
  <si>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</si>
  <si>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786 0111 0000000000 000</t>
  </si>
  <si>
    <t>Резервные фонды</t>
  </si>
  <si>
    <t>0,00</t>
  </si>
  <si>
    <t>786 0111 7600091200 000</t>
  </si>
  <si>
    <t>Резервный фонд администрации муниципального образования</t>
  </si>
  <si>
    <t>786 0111 7600091200 870</t>
  </si>
  <si>
    <t>Резервные средства</t>
  </si>
  <si>
    <t>786 0113 0000000000 000</t>
  </si>
  <si>
    <t>Другие общегосударственные вопросы</t>
  </si>
  <si>
    <t>786 0113 0240790490 000</t>
  </si>
  <si>
    <t>786 0113 0240790490 244</t>
  </si>
  <si>
    <t>Уплата иных платежей</t>
  </si>
  <si>
    <t>786 0310 0000000000 000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</si>
  <si>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</si>
  <si>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786 0310 0900191530 000</t>
  </si>
  <si>
    <t>786 0310 0900191530 244</t>
  </si>
  <si>
    <t>786 0310 7600091200 000</t>
  </si>
  <si>
    <t>786 0310 7600091200 244</t>
  </si>
  <si>
    <t>786 0310 8010090680 000</t>
  </si>
  <si>
    <t>Расходы в области национальной безопасности и правоохранительной деятельности; Защита населения и территорий муниципального образования от ЧС, осуществляемые органами местного самоуправления; Организация и осуществление мероприятий по ГО, защите населения и территории поселений от чрезвычайных ситуаций природного и техногенного характера</t>
  </si>
  <si>
    <t>786 0310 8010090680 244</t>
  </si>
  <si>
    <t>786 0310 8010090690 000</t>
  </si>
  <si>
    <t>Расходы в области национальной безопасности и правоохранительной деятельности; Защита населения и территорий муниципального образования от ЧС, осуществляемые органами местного самоуправления; Участие в предупреждении и ликвидации последствий чрезвычайных ситуаций в границах поселения</t>
  </si>
  <si>
    <t>786 0310 8010090690 244</t>
  </si>
  <si>
    <t>786 0310 8010099010 000</t>
  </si>
  <si>
    <t>Расходы в области национальной безопасности и правоохранительной деятельности;Межбюджетные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поселения в соответствии с заключенными соглашениями</t>
  </si>
  <si>
    <t>786 0310 8010099010 540</t>
  </si>
  <si>
    <t>Иные межбюджетные трансферты</t>
  </si>
  <si>
    <t>786 0310 8010099040 000</t>
  </si>
  <si>
    <t>Расходы в области национальной безопасности и правоохранительной деятельности;Межбюджетные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</si>
  <si>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786 0310 8010099040 540</t>
  </si>
  <si>
    <t>786 0314 0000000000 000</t>
  </si>
  <si>
    <t>Другие вопросы в области национальной безопасности и правоохранительной деятельности</t>
  </si>
  <si>
    <t>786 0314 1100091550 000</t>
  </si>
  <si>
    <t>786 0314 1100091550 244</t>
  </si>
  <si>
    <t>786 0408 0000000000 000</t>
  </si>
  <si>
    <t>Транспорт</t>
  </si>
  <si>
    <t>786 0408 1000293010 000</t>
  </si>
  <si>
    <t>786 0408 1000293010 811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</si>
  <si>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</si>
  <si>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786 0408 10002S6360 000</t>
  </si>
  <si>
    <t>786 0409 0000000000 000</t>
  </si>
  <si>
    <t>Дорожное хозяйство (дорожные фонды)</t>
  </si>
  <si>
    <t>786 0409 1000193030 000</t>
  </si>
  <si>
    <t>99,99</t>
  </si>
  <si>
    <t>786 0409 1000193030 244</t>
  </si>
  <si>
    <t>786 0409 1000193030 853</t>
  </si>
  <si>
    <t>786 0409 1010183020 000</t>
  </si>
  <si>
    <t>786 0409 1010183020 244</t>
  </si>
  <si>
    <t>786 0412 0000000000 000</t>
  </si>
  <si>
    <t>Другие вопросы в области национальной экономики</t>
  </si>
  <si>
    <t>786 0412 0100292410 000</t>
  </si>
  <si>
    <t>786 0412 0100292410 244</t>
  </si>
  <si>
    <t>786 0412 0100392410 000</t>
  </si>
  <si>
    <t>786 0412 0100392410 244</t>
  </si>
  <si>
    <t>786 0412 1200192410 000</t>
  </si>
  <si>
    <t>786 0412 1200192410 244</t>
  </si>
  <si>
    <t>786 0501 0000000000 000</t>
  </si>
  <si>
    <t>Жилищное хозяйство</t>
  </si>
  <si>
    <t>786 0501 0510193620 000</t>
  </si>
  <si>
    <t>99,98</t>
  </si>
  <si>
    <t>786 0501 0510193620 244</t>
  </si>
  <si>
    <t>786 0501 0520293620 000</t>
  </si>
  <si>
    <t>786 0501 0520293620 244</t>
  </si>
  <si>
    <t>786 0501 0520393620 000</t>
  </si>
  <si>
    <t>786 0501 0520393620 244</t>
  </si>
  <si>
    <t>786 0501 0520393620 831</t>
  </si>
  <si>
    <t>Исполнение судебных актов Российской Федерации и мировых соглашений по возмещению причиненного вреда</t>
  </si>
  <si>
    <t>786 0501 0520393620 853</t>
  </si>
  <si>
    <t>786 0501 052F367483 000</t>
  </si>
  <si>
    <t>786 0501 052F367483 853</t>
  </si>
  <si>
    <t>786 0501 052F367484 000</t>
  </si>
  <si>
    <t>786 0501 052F367484 853</t>
  </si>
  <si>
    <t>786 0501 6700071400 000</t>
  </si>
  <si>
    <t>Резервный фонд Правительства Архангельской области</t>
  </si>
  <si>
    <t>786 0501 6700071400 244</t>
  </si>
  <si>
    <t>786 0502 0000000000 000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</si>
  <si>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</si>
  <si>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</si>
  <si>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99,56</t>
  </si>
  <si>
    <t>786 0502 0620293520 000</t>
  </si>
  <si>
    <t>786 0502 0620293520 244</t>
  </si>
  <si>
    <t>786 0502 0620293520 247</t>
  </si>
  <si>
    <t>786 0502 0620293520 811</t>
  </si>
  <si>
    <t>786 0503 0000000000 000</t>
  </si>
  <si>
    <t>Благоустройство</t>
  </si>
  <si>
    <t>786 0503 0400193630 000</t>
  </si>
  <si>
    <t>786 0503 0400193630 244</t>
  </si>
  <si>
    <t>Субсидии автономным учреждениям на иные цели</t>
  </si>
  <si>
    <t>786 0503 040F255550 000</t>
  </si>
  <si>
    <t>786 0503 040F255550 244</t>
  </si>
  <si>
    <t>786 0503 0700193560 000</t>
  </si>
  <si>
    <t>786 0503 0700193560 330</t>
  </si>
  <si>
    <t>Публичные нормативные выплаты гражданам несоциального характера</t>
  </si>
  <si>
    <t>786 0503 08001S8420 000</t>
  </si>
  <si>
    <t xml:space="preserve">Муниципальная программа МО "Вельский муниципальный район" "Развитие ТОС Вельского района "; Организация и проведение ежегодного конкурса проектов ТОС "Общественная инициатива"; Развитие ТОС в Вельском районе </t>
  </si>
  <si>
    <t>786 0503 08001S8420 244</t>
  </si>
  <si>
    <t>786 0503 0810193530 000</t>
  </si>
  <si>
    <t>786 0503 0810193530 244</t>
  </si>
  <si>
    <t>786 0503 0810293530 000</t>
  </si>
  <si>
    <t>786 0503 0810293530 244</t>
  </si>
  <si>
    <t>786 0503 0810393530 000</t>
  </si>
  <si>
    <t>786 0503 0810393530 244</t>
  </si>
  <si>
    <t>786 0503 0810493530 000</t>
  </si>
  <si>
    <t>786 0503 0810493530 244</t>
  </si>
  <si>
    <t>786 0503 0810493530 622</t>
  </si>
  <si>
    <t>786 0503 0820593580 000</t>
  </si>
  <si>
    <t>786 0503 0820593580 244</t>
  </si>
  <si>
    <t>786 0503 0830693590 000</t>
  </si>
  <si>
    <t>786 0503 0830693590 244</t>
  </si>
  <si>
    <t>98,93</t>
  </si>
  <si>
    <t>786 0503 0830693590 247</t>
  </si>
  <si>
    <t>786 0503 7600081200 000</t>
  </si>
  <si>
    <t>Резервный фонд администрации Вельского муниципального района Архангельской области</t>
  </si>
  <si>
    <t>786 0503 7600081200 244</t>
  </si>
  <si>
    <t>786 0505 0000000000 000</t>
  </si>
  <si>
    <t>Другие вопросы в области жилищно-коммунального хозяйства</t>
  </si>
  <si>
    <t>786 0707 0000000000 000</t>
  </si>
  <si>
    <t>Молодежная политика</t>
  </si>
  <si>
    <t>786 0707 0210190420 000</t>
  </si>
  <si>
    <t>786 0707 0210190420 244</t>
  </si>
  <si>
    <t>786 0707 0210190420 340</t>
  </si>
  <si>
    <t>Стипендии</t>
  </si>
  <si>
    <t>786 1001 0000000000 000</t>
  </si>
  <si>
    <t>Пенсионное обеспечение</t>
  </si>
  <si>
    <t>786 1001 0350597010 000</t>
  </si>
  <si>
    <t>786 1001 0350597010 312</t>
  </si>
  <si>
    <t>Иные пенсии, социальные доплаты к пенсиям</t>
  </si>
  <si>
    <t>786 1003 0000000000 000</t>
  </si>
  <si>
    <t>Социальное обеспечение населения</t>
  </si>
  <si>
    <t>786 1003 0310190540 000</t>
  </si>
  <si>
    <t>786 1003 0310190540 360</t>
  </si>
  <si>
    <t>Иные выплаты населению</t>
  </si>
  <si>
    <t>786 1003 0320290560 000</t>
  </si>
  <si>
    <t>786 1003 0320290560 244</t>
  </si>
  <si>
    <t>786 1003 0330390220 000</t>
  </si>
  <si>
    <t>786 1003 0330390220 244</t>
  </si>
  <si>
    <t>786 1003 0330390220 330</t>
  </si>
  <si>
    <t>Субсидии гражданам на приобретение жилья</t>
  </si>
  <si>
    <t>786 1101 0000000000 000</t>
  </si>
  <si>
    <t>Физическая культура</t>
  </si>
  <si>
    <t>786 1101 0230690430 000</t>
  </si>
  <si>
    <t>786 1101 0230690430 244</t>
  </si>
  <si>
    <t>886 0000 0000000000 000</t>
  </si>
  <si>
    <t>МУНИЦИПАЛЬНОЕ КАЗЕННОЕ УЧРЕЖДЕНИЕ КУЛЬТУРЫ "ДВОРЕЦ КУЛЬТУРЫ И СПОРТА"</t>
  </si>
  <si>
    <t>886 0801 0000000000 000</t>
  </si>
  <si>
    <t>Культура</t>
  </si>
  <si>
    <t>886 0801 0220390440 000</t>
  </si>
  <si>
    <t>886 0801 0220390440 111</t>
  </si>
  <si>
    <t>Фонд оплаты труда учреждений</t>
  </si>
  <si>
    <t>886 0801 0220390440 119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</si>
  <si>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</si>
  <si>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886 0801 0220390440 244</t>
  </si>
  <si>
    <t>886 0801 0220390440 247</t>
  </si>
  <si>
    <t>886 0801 02203S8310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</si>
  <si>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2022-2024 годы";  Подпрограмма "Обеспечение деятельности МКУК "ДКиС"; Мероприятия по обеспечению функционирования учреждения; Софинансирование областной субсидии на повышение средней заработной платы работников учреждений культуры в целях реализации Указа Президента РФ от 07 мая 2012 года №597</t>
  </si>
  <si>
    <t>886 0801 02203S8310 111</t>
  </si>
  <si>
    <t>886 0801 02203S8310 119</t>
  </si>
  <si>
    <t>886 0801 0220490460 000</t>
  </si>
  <si>
    <t>886 0801 0220490460 112</t>
  </si>
  <si>
    <t>Иные выплаты персоналу учреждений, за исключением фонда оплаты труда</t>
  </si>
  <si>
    <t>886 0801 0220490460 244</t>
  </si>
  <si>
    <t>886 0801 0220490460 853</t>
  </si>
  <si>
    <t>886 0801 0220590440 000</t>
  </si>
  <si>
    <t>886 0801 0220590440 244</t>
  </si>
  <si>
    <t>886 0801 6700071400 000</t>
  </si>
  <si>
    <t>886 0801 6700071400 244</t>
  </si>
  <si>
    <t>ИТОГО</t>
  </si>
  <si>
    <t xml:space="preserve">                                  Приложение № 4</t>
  </si>
  <si>
    <t>Ед. измерения Руб.</t>
  </si>
  <si>
    <t>4</t>
  </si>
  <si>
    <t>5</t>
  </si>
  <si>
    <t>7</t>
  </si>
  <si>
    <t>9</t>
  </si>
  <si>
    <t>94,89</t>
  </si>
  <si>
    <t>99,40</t>
  </si>
  <si>
    <t>99,30</t>
  </si>
  <si>
    <t>99,73</t>
  </si>
  <si>
    <t>95,03</t>
  </si>
  <si>
    <t>83,66</t>
  </si>
  <si>
    <t>786 0106 7430098630 000</t>
  </si>
  <si>
    <t>Обеспечение деятельности КСП;Муниципальный финансовый контроль;Передача части полномочий по решению вопросов местного значения в соответствии с заключенными соглашениями</t>
  </si>
  <si>
    <t>786 0106 7430098630 540</t>
  </si>
  <si>
    <t>786 0107 0000000000 000</t>
  </si>
  <si>
    <t>Обеспечение проведения выборов и референдумов</t>
  </si>
  <si>
    <t>786 0107 7320091160 000</t>
  </si>
  <si>
    <t>Финансовое обеспечение проведения выборов в Совет депутатов муниципального образования</t>
  </si>
  <si>
    <t>786 0107 7320091160 244</t>
  </si>
  <si>
    <t>98,34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</si>
  <si>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 Подпрограмма"Обеспечение деятельности ОМС в соц.сфере на 2022-2024 годы.;Мероприятия в сфере общегосударственных вопросов, осуществляемые ОМС; Муниципальная поддержка в сфере СМИ, осуществляемая ОМС</t>
  </si>
  <si>
    <t>96,81</t>
  </si>
  <si>
    <t>Муниципальная программа МО "Вельское""Повышение пожарной безопасности в городском поселении на 2023-2025 годы";Мероприятия по повышению уровня пожарной безопасности;Мероприятия в сфере обеспечения пожарной безопасности, осуществляемые ОМС</t>
  </si>
  <si>
    <t>58,77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</si>
  <si>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2023-2025 годы";Мероприятия по обеспечению антитеррористической защищенности мест массового пребывания людей; Обеспечение национальной безопасности и правоохранительной деятельности</t>
  </si>
  <si>
    <t>99,70</t>
  </si>
  <si>
    <t>Муниципальная программа МО "Вельское" "Поддержка в области дорожного хозяйства в городском поселении на 2023-2025 годы"; 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маршрутам.Субсидии на возмещение части затрат по пассажироперевозкам.</t>
  </si>
  <si>
    <t>99,93</t>
  </si>
  <si>
    <t>786 0408 1000293010 244</t>
  </si>
  <si>
    <t>99,68</t>
  </si>
  <si>
    <t>Муниципальная программа МО "Вельское" "Поддержка в области дорожного хозяйства в городском поселении на 2023-2025годы"; 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маршрутам; софинансирование организации транспортного обслуживания населения на пассажирских муниципальных маршрутах автомобильного транспорта</t>
  </si>
  <si>
    <t>786 0408 10002S6360 244</t>
  </si>
  <si>
    <t>Муниципальная программа МО "Вельское" "Поддержка в области дорожного хозяйства в городском поселении на 2023-2025годы"; Мероприятия по строительству, реконструкции, капитальному ремонту, ремонту и содержанию автомобильных дорог; Иные мероприятия, связанные с выполнением полномочий в области использовании автодорог и осуществления дорожной деятельности</t>
  </si>
  <si>
    <t>98,90</t>
  </si>
  <si>
    <t>786 0409 10001S6790 000</t>
  </si>
  <si>
    <t>Муниципальная программа МО "Вельское"Поддержка в области дорожного хозяйства в городском поселении на 2022-2024 годы. Мероприятия по строительству,реконструкции, кап.ремонту,ремонту и содержанию автомобильных дорог, софинансирование мероприятий в сфере общественного пассажирского транспорта и транспортной инфраструктуры в части субсидий местным бюджетам</t>
  </si>
  <si>
    <t>786 0409 10001S6790 244</t>
  </si>
  <si>
    <t>786 0409 100R376670 000</t>
  </si>
  <si>
    <t xml:space="preserve">Муниципальная программа МО "Вельское" "Поддержка в области дорожного хозяйства в городском поселении на 2023-2025годы"; Национальный проект «Безопасные и качественные автомобильные дороги»;Федеральный проект «Безопасность дорожного движения»;Модернизация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 </t>
  </si>
  <si>
    <t>95,52</t>
  </si>
  <si>
    <t>786 0409 100R376670 244</t>
  </si>
  <si>
    <t>Муниципальная программа МО "Вельский муниципальный район" "Поддержка в области дорожной деятельности и пассажирских автоперевозок на 2023-2025 годы"; Подпрограмма "Развитие и совершенствование сети автомобильных дорог общего пользования местного значения в Вельском районе"; 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инфраструктуры; Мероприятия в сфере дорожного хозяйства</t>
  </si>
  <si>
    <t>93,15</t>
  </si>
  <si>
    <t>Муниципальная программа МО "Вельское" "Межевание земельных участков на 2023-2025 годы"; Мероприятия по межеванию земельных участков под многоквартирными жилыми домами; Прочие мероприятия в области национальной экономики.</t>
  </si>
  <si>
    <t>99,50</t>
  </si>
  <si>
    <t>Муниципальная программа МО "Вельское" "Межевание земельных участков на 2023-2025 годы"; Мероприятия по межеванию земельных участков в муниципальную собственность; Прочие мероприятия в области национальной экономики</t>
  </si>
  <si>
    <t>62,80</t>
  </si>
  <si>
    <t>Муниципальная программа МО "Вельское" "Подготовка проектов планировки территории и выполнение проектно-изыскательских работ на 2023-2025 годы." Мероприятия по составлению проекта планировки и межевания территории. Прочие мероприятия в области национальной экономики.</t>
  </si>
  <si>
    <t>83,93</t>
  </si>
  <si>
    <t>Муниципальная программа МО "Вельское" "Поддержка жилищного хозяйства на 2023-2025 годы"; Подпрограмма "Капитальный ремонт многоквартирных домов"; Мероприятия по софинансированию кап.ремонта квартир нанимателей жилых помещений; Создание условий для населения по жилью</t>
  </si>
  <si>
    <t>97,44</t>
  </si>
  <si>
    <t>786 0501 0520283520 000</t>
  </si>
  <si>
    <t>Муниципальная программа МО"Вельское" "Жилищно-коммунальное хозяйство и благоустройство"; Мероприятия по обследованию многоквартирных домов; Мероприятия в области жилищно-коммунального хозяйства</t>
  </si>
  <si>
    <t>786 0501 0520283520 244</t>
  </si>
  <si>
    <t>Муниципальная программа МО "Вельское" "Поддержка жилищного хозяйства на 2023-2025годы"; Подпрограмма "Мероприятия в области жилищного хозяйства"; Мероприятия по переселению граждан из аварийного жилищного фонда, в т.ч. снос аварийных домов; Создание условий для населения по жилью</t>
  </si>
  <si>
    <t>78,61</t>
  </si>
  <si>
    <t>Муниципальная программа МО "Вельское" "Поддержка жилищного хозяйства на 2023-2025 годы"; Подпрограмма "Мероприятия в области жилищного хозяйства";Финансовое обеспечение организационных жилищных услуг; Создание условий для населения по жилью</t>
  </si>
  <si>
    <t>99,53</t>
  </si>
  <si>
    <t>98,83</t>
  </si>
  <si>
    <t>786 0501 0520393620 414</t>
  </si>
  <si>
    <t>786 0501 0520393620 852</t>
  </si>
  <si>
    <t xml:space="preserve">Муниципальная программа МО "Вельское" "Поддержка жилищного хозяйства на 2023-2025 годы;подпрограмма "Мероприятия в области жилищного хозяйства";Нац.проект"Жилье и городская среда";Фед.проект"Обеспечение устойчивого сокращения непригодного для проживания жилого фонда";Обеспечение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</si>
  <si>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75,22</t>
  </si>
  <si>
    <t>Муниципальная программа МО "Вельское" "Поддержка жилищного хозяйства на 2023-2025 годы.подпрограмма "Мероприятия в области жилищного хозяйства";Нац.проект"Жилье и городская среда";Фед.проект"Обеспечение устойчивого сокращения непригодного для проживания жилого фонда";Обеспечение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</si>
  <si>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94,53</t>
  </si>
  <si>
    <t>Муниципальная программа МО "Вельское" "Поддержка коммунального хозяйства на 2023-2025 годы"; Подпрограмма " Мероприятия в области коммунального хозяйства"; Мероприятия по развитию коммунальной инфраструктуры; Создание условий для населения в сфере коммунального хозяйства</t>
  </si>
  <si>
    <t>91,26</t>
  </si>
  <si>
    <t>786 0502 0620293520 243</t>
  </si>
  <si>
    <t>Закупка товаров, работ, услуг в целях капитального ремонта государственного (муниципального) имущества</t>
  </si>
  <si>
    <t>99,67</t>
  </si>
  <si>
    <t>74,48</t>
  </si>
  <si>
    <t>786 0502 0620293520 360</t>
  </si>
  <si>
    <t>96,25</t>
  </si>
  <si>
    <t>786 0502 0620298720 000</t>
  </si>
  <si>
    <t>Муниципальная программа МО "Вельское" "Поддержка коммунального хозяйства на 2023-2025 годы"; Подпрограмма "Мероприятия в области коммунального хозяйства"; Мероприятия по развитию коммунальной инфраструктуры; Строительство объектов ЖКХ (водоснабжение, водоотведение)</t>
  </si>
  <si>
    <t>99,89</t>
  </si>
  <si>
    <t>786 0502 0620298720 244</t>
  </si>
  <si>
    <t>786 0502 0620298720 414</t>
  </si>
  <si>
    <t>99,07</t>
  </si>
  <si>
    <t>Муниципальная программа МО "Вельское" "Сохранение и благоустройство исторической части города Вельска на 2023-2025 годы."; Мероприятия по устройству покрытия проезжей части и установка малых архитектурных форм; Мероприятия по улучшению облика улиц в исторической части города Вельска</t>
  </si>
  <si>
    <t>80,07</t>
  </si>
  <si>
    <t>786 0503 04001S6410 000</t>
  </si>
  <si>
    <t>Муниципальная программа МО "Вельское" "Сохранение и благоустройство исторической части города Вельска на 2023-2025 годы. Мероприятия по устройству покрытия проезжей части и установка малых архитектурных форм. Софинансирование мероприятий по разработке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</si>
  <si>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786 0503 04001S6410 244</t>
  </si>
  <si>
    <t>Муниципальная программа МО "Вельское" "Сохранение и благоустройство исторической части города Вельска на 2023-2025 годы"Национальный проект "Жилье и городская среда"; Федеральный проект "Формирование комфортной городской среды"Реализация программ формирования современной городской среды</t>
  </si>
  <si>
    <t>Муниципальная программа МО "Вельское" "Развитие ТОС в МО "Вельское" на 2023-2025 годы"; Мероприятия по развитию и продвижению ТОС; Мероприятия благоустройства по ТОС</t>
  </si>
  <si>
    <t>Муниципальная программа МО "Вельское" "Благоустройство территории городского поселения на 2023-2025 годы" Подпрограмма "Содержание МОП на территории городского поселения"; Мероприятия по подготовке и проведению праздничных мероприятий; Мероприятия в области благоустройства территории</t>
  </si>
  <si>
    <t>Муниципальная программа МО "Вельское" "Благоустройство территории городского поселения на 2023-2025 годы" Подпрограмма "Содержание МОП на территории городского поселения"; Мероприятия по содержанию, ремонту, обслуживанию, строительству элементов благоустройства на территории общественных пространств; Мероприятия в области благоустройства территории</t>
  </si>
  <si>
    <t>786 0503 0810293530 540</t>
  </si>
  <si>
    <t>Муниципальная программа МО "Вельское" "Благоустройство территории городского поселения на 2023-2025 годы" Подпрограмма "Содержание МОП на территории городского поселения"; Мероприятия по весенней и осенней уборке мусора; Мероприятия в области благоустройства территории</t>
  </si>
  <si>
    <t>Муниципальная программа МО "Вельское" "Благоустройство территории городского поселения на 2023-2025 годы" Подпрограмма "Содержание МОП на территории городского поселения"; Мероприятия по обслуживанию территории общественного назначения; Мероприятия в области благоустройства территории</t>
  </si>
  <si>
    <t>98,94</t>
  </si>
  <si>
    <t>Муниципальная программа МО "Вельское" "Благоустройство территории городского поселения на 2023-2025 годы" Подпрограмма "Озеленение в МО "Вельское"; Работы и услуги, обеспечивающие текущее содержание растительных компонентов общественных пространств, объектов рекреации; Благоустройство в рамках озеленения территории поселения</t>
  </si>
  <si>
    <t>Муниципальная программа МО "Вельское" "Благоустройство территории городского поселения на 2023-2025 годы" Подпрограмма "Формирование условий и благоустройство уличного освещения"; Мероприятия по содержанию уличного освещения; Уличное свещение</t>
  </si>
  <si>
    <t>99,46</t>
  </si>
  <si>
    <t>99,78</t>
  </si>
  <si>
    <t>99,43</t>
  </si>
  <si>
    <t>786 0505 0400174950 000</t>
  </si>
  <si>
    <t>Муниципальная программа МО "Вельское" "Сохранение и благоустройство исторической части города Вельска на 2023-2025 годы."; 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</si>
  <si>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786 0505 0400174950 244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</si>
  <si>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"Реализация молодежной политики в МО "Вельское" на 2023-2025 годы"; Вовлечение молодежи в социальную практику.; Мероприятия в сфере патриотического воспитания граждан и муниципальной молодежной политики</t>
  </si>
  <si>
    <t>Муниципальная программа МО "Вельское" "Адресная социальная поддержка населения на 2023-2025 годы." Подпрограмма "Осуществление доплат к пенсии лицам, вышедшим на пенсию с муниципальной службы"; Мероприятия по обеспечению мер, предусмотренных действующим законодательством о прохождении муниципальной службы; Доплаты к пенсиям муниципальных служащих</t>
  </si>
  <si>
    <t>3,07</t>
  </si>
  <si>
    <t>Муниципальная программа МО "Вельское" "Адресная социальная поддержка населения на 2023-2025 годы." Подпрограмма "Оказание помощи социально-уязвимым группам населения"; Мероприятия по оказанию различных видов социальной помощи гражданам; Мероприятия в сфере социальной политики, осуществляемые ОМС</t>
  </si>
  <si>
    <t>Муниципальная программа МО "Вельское" "Адресная социальная поддержка населения на 2023-2025 годы." Подпрограмма "Социальная поддержка старшего поколения"; Обеспечение мероприятий, направленных на поддержку ветеранов; Финансовое обеспечение проведения мероприятий для ветеранов</t>
  </si>
  <si>
    <t>Муниципальная программа МО "Вельское" "Адресная социальная поддержка населения на 2023-2025 годы." Подпрограмма "Социальная поддержка Почетных граждан г.Вельска"; Обеспечение мер по социальной поддержке Почетных граждан; Исполнение публичных нормативных обязательств на реализацию положения "О Почетном гражданине г.Вельска"</t>
  </si>
  <si>
    <t>85,71</t>
  </si>
  <si>
    <t>786 1003 052F367483 000</t>
  </si>
  <si>
    <t>786 1003 052F367483 322</t>
  </si>
  <si>
    <t>786 1003 052F367484 000</t>
  </si>
  <si>
    <t>786 1003 052F367484 322</t>
  </si>
  <si>
    <t>94,05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</si>
  <si>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2023-2025годы"; Мероприятия по организации официальных физкультурно-оздоровительных мероприятий в МО "Вельское" на 2023-2025годы.; Мероприятия в области физической культуры и спорта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</si>
  <si>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"Обеспечение деятельности МКУК "ДКиС"; Мероприятия по обеспечению функционирования учреждения; Обеспечение деятельности казенных учреждений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</si>
  <si>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"Обеспечение деятельности МКУК "ДКиС"; Проведение мероприятий за счет средств от приносящей доход деятельности; Обеспечение деятельности казенных учреждений от иной приносящей доход деятельности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</si>
  <si>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"Обеспечение деятельности МКУК "ДКиС"; Мероприятия по обеспечению проведения официальных праздников, фестивалей, спортивных мероприятий, в т.ч. занесенных в районный реестр фестивалей; Финансовая поддержка деятельности казенных учреждений</t>
  </si>
  <si>
    <t>886 0801 02205L4670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</si>
  <si>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2023-2025годы.";  Подпрограмма "Обеспечение деятельности МКУК "ДКиС"; Мероприятия по обеспечению проведения официальных праздников, фестивалей, спортивных мероприятий, в т.ч. занесенных в районный реестр фестивалей;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</si>
  <si>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886 0801 02205L4670 244</t>
  </si>
  <si>
    <t>886 0801 7600081200 000</t>
  </si>
  <si>
    <t>886 0801 7600081200 244</t>
  </si>
  <si>
    <r>
      <t xml:space="preserve">                                                                            </t>
    </r>
    <r>
      <rPr>
        <b/>
        <sz val="10"/>
        <color indexed="8"/>
        <rFont val="Tahoma"/>
        <family val="2"/>
      </rPr>
      <t xml:space="preserve"> к решению Совета депутатов городского поселения "Вельское" Вельского муниципального района Архангельской области</t>
    </r>
  </si>
  <si>
    <t>Отчет об исполнении расходной части бюджета городского поселения "Вельское" Вельского муниципального района    Архангельской области за 2023 год                                                                                                                                                                 по разделам, подразделам, целевым статьям и видам расходов функциональной классификации бюджетов РФ.                               ( Ведомственная структура расходов)</t>
  </si>
  <si>
    <t>план</t>
  </si>
  <si>
    <t>Исполнение за 2023 год</t>
  </si>
  <si>
    <t>ыч</t>
  </si>
  <si>
    <t xml:space="preserve">                                                                                       " Об отчете об испонении бюджета городского поселения "Вельское"  Вельского муниципального района Архангельской области за 2023 год № 206 от 26.03.2024г.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</si>
</sst>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23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27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left" vertical="center" wrapText="1"/>
    </xf>
    <xf numFmtId="0" fontId="5" fillId="33" borderId="30" xfId="0" applyNumberFormat="1" applyFont="1" applyFill="1" applyBorder="1" applyAlignment="1">
      <alignment horizontal="lef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0" fontId="4" fillId="33" borderId="35" xfId="0" applyNumberFormat="1" applyFont="1" applyFill="1" applyBorder="1" applyAlignment="1">
      <alignment horizontal="left" vertical="center" wrapText="1"/>
    </xf>
    <xf numFmtId="0" fontId="4" fillId="33" borderId="26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right" vertical="center" wrapText="1"/>
    </xf>
    <xf numFmtId="4" fontId="4" fillId="33" borderId="40" xfId="0" applyNumberFormat="1" applyFont="1" applyFill="1" applyBorder="1" applyAlignment="1">
      <alignment horizontal="right" vertical="center" wrapText="1"/>
    </xf>
    <xf numFmtId="4" fontId="4" fillId="33" borderId="41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tabSelected="1" zoomScalePageLayoutView="0" workbookViewId="0" topLeftCell="A1">
      <selection activeCell="A3" sqref="A3:U6"/>
    </sheetView>
  </sheetViews>
  <sheetFormatPr defaultColWidth="9.140625" defaultRowHeight="12.75"/>
  <cols>
    <col min="1" max="1" width="10.7109375" style="1" customWidth="1"/>
    <col min="2" max="2" width="3.7109375" style="1" customWidth="1"/>
    <col min="3" max="4" width="1.7109375" style="1" customWidth="1"/>
    <col min="5" max="5" width="3.00390625" style="1" customWidth="1"/>
    <col min="6" max="6" width="0.2890625" style="1" hidden="1" customWidth="1"/>
    <col min="7" max="7" width="1.7109375" style="1" hidden="1" customWidth="1"/>
    <col min="8" max="8" width="1.7109375" style="1" customWidth="1"/>
    <col min="9" max="10" width="10.7109375" style="1" customWidth="1"/>
    <col min="11" max="11" width="1.7109375" style="1" customWidth="1"/>
    <col min="12" max="12" width="2.7109375" style="1" customWidth="1"/>
    <col min="13" max="13" width="13.7109375" style="1" customWidth="1"/>
    <col min="14" max="14" width="10.140625" style="1" customWidth="1"/>
    <col min="15" max="15" width="2.7109375" style="1" customWidth="1"/>
    <col min="16" max="16" width="3.7109375" style="1" customWidth="1"/>
    <col min="17" max="17" width="9.28125" style="1" customWidth="1"/>
    <col min="18" max="18" width="0.2890625" style="1" hidden="1" customWidth="1"/>
    <col min="19" max="19" width="10.8515625" style="1" customWidth="1"/>
    <col min="20" max="20" width="4.7109375" style="1" customWidth="1"/>
    <col min="21" max="21" width="6.421875" style="1" customWidth="1"/>
  </cols>
  <sheetData>
    <row r="1" spans="1:21" s="1" customFormat="1" ht="15.75" customHeight="1">
      <c r="A1" s="65" t="s">
        <v>207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1" customFormat="1" ht="33.75" customHeight="1">
      <c r="A2" s="9" t="s">
        <v>329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13.5" customHeight="1">
      <c r="A3" s="10" t="s">
        <v>334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1" customFormat="1" ht="30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" customFormat="1" ht="15" customHeight="1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1" customFormat="1" ht="15.75" customHeight="1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15" customHeight="1">
      <c r="A7" s="14" t="s">
        <v>330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" customFormat="1" ht="1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1" customFormat="1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" customFormat="1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" customFormat="1" ht="13.5" customHeight="1" thickBot="1">
      <c r="A11" s="13" t="s">
        <v>208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" customFormat="1" ht="13.5" customHeight="1" thickBot="1">
      <c r="A12" s="11" t="s">
        <v>1</v>
      </c>
      <c r="B12" s="11"/>
      <c r="C12" s="11"/>
      <c r="D12" s="11"/>
      <c r="E12" s="11"/>
      <c r="F12" s="11"/>
      <c r="G12" s="11"/>
      <c r="H12" s="12" t="s">
        <v>2</v>
      </c>
      <c r="I12" s="12"/>
      <c r="J12" s="12"/>
      <c r="K12" s="12"/>
      <c r="L12" s="12"/>
      <c r="M12" s="12"/>
      <c r="N12" s="11" t="s">
        <v>331</v>
      </c>
      <c r="O12" s="11"/>
      <c r="P12" s="11" t="s">
        <v>332</v>
      </c>
      <c r="Q12" s="11"/>
      <c r="R12" s="57"/>
      <c r="S12" s="6" t="s">
        <v>4</v>
      </c>
      <c r="T12" s="19" t="s">
        <v>6</v>
      </c>
      <c r="U12" s="19"/>
    </row>
    <row r="13" spans="1:21" s="1" customFormat="1" ht="33.75" customHeight="1">
      <c r="A13" s="11"/>
      <c r="B13" s="11"/>
      <c r="C13" s="11"/>
      <c r="D13" s="11"/>
      <c r="E13" s="11"/>
      <c r="F13" s="11"/>
      <c r="G13" s="11"/>
      <c r="H13" s="12"/>
      <c r="I13" s="12"/>
      <c r="J13" s="12"/>
      <c r="K13" s="12"/>
      <c r="L13" s="12"/>
      <c r="M13" s="12"/>
      <c r="N13" s="59" t="s">
        <v>3</v>
      </c>
      <c r="O13" s="59"/>
      <c r="P13" s="11"/>
      <c r="Q13" s="11"/>
      <c r="R13" s="58"/>
      <c r="S13" s="2" t="s">
        <v>5</v>
      </c>
      <c r="T13" s="20" t="s">
        <v>5</v>
      </c>
      <c r="U13" s="20"/>
    </row>
    <row r="14" spans="1:21" s="1" customFormat="1" ht="12.75" customHeight="1" thickBot="1">
      <c r="A14" s="49" t="s">
        <v>7</v>
      </c>
      <c r="B14" s="49"/>
      <c r="C14" s="49"/>
      <c r="D14" s="49"/>
      <c r="E14" s="49"/>
      <c r="F14" s="49"/>
      <c r="G14" s="49"/>
      <c r="H14" s="48" t="s">
        <v>8</v>
      </c>
      <c r="I14" s="48"/>
      <c r="J14" s="48"/>
      <c r="K14" s="48"/>
      <c r="L14" s="48"/>
      <c r="M14" s="48"/>
      <c r="N14" s="48" t="s">
        <v>209</v>
      </c>
      <c r="O14" s="48"/>
      <c r="P14" s="49" t="s">
        <v>210</v>
      </c>
      <c r="Q14" s="60"/>
      <c r="R14" s="61"/>
      <c r="S14" s="3" t="s">
        <v>211</v>
      </c>
      <c r="T14" s="21" t="s">
        <v>212</v>
      </c>
      <c r="U14" s="21"/>
    </row>
    <row r="15" spans="1:21" s="1" customFormat="1" ht="13.5" customHeight="1">
      <c r="A15" s="17" t="s">
        <v>9</v>
      </c>
      <c r="B15" s="17"/>
      <c r="C15" s="17"/>
      <c r="D15" s="17"/>
      <c r="E15" s="17"/>
      <c r="F15" s="17"/>
      <c r="G15" s="17"/>
      <c r="H15" s="18" t="s">
        <v>10</v>
      </c>
      <c r="I15" s="18"/>
      <c r="J15" s="18"/>
      <c r="K15" s="18"/>
      <c r="L15" s="18"/>
      <c r="M15" s="18"/>
      <c r="N15" s="62">
        <f>178810871.14</f>
        <v>178810871.14</v>
      </c>
      <c r="O15" s="63"/>
      <c r="P15" s="32">
        <f>169682352.08</f>
        <v>169682352.08</v>
      </c>
      <c r="Q15" s="64"/>
      <c r="R15" s="63"/>
      <c r="S15" s="4" t="s">
        <v>213</v>
      </c>
      <c r="T15" s="22">
        <f>9128519.06</f>
        <v>9128519.06</v>
      </c>
      <c r="U15" s="22"/>
    </row>
    <row r="16" spans="1:21" s="1" customFormat="1" ht="33.75" customHeight="1">
      <c r="A16" s="17" t="s">
        <v>11</v>
      </c>
      <c r="B16" s="17"/>
      <c r="C16" s="17"/>
      <c r="D16" s="17"/>
      <c r="E16" s="17"/>
      <c r="F16" s="17"/>
      <c r="G16" s="17"/>
      <c r="H16" s="18" t="s">
        <v>12</v>
      </c>
      <c r="I16" s="18"/>
      <c r="J16" s="18"/>
      <c r="K16" s="18"/>
      <c r="L16" s="18"/>
      <c r="M16" s="18"/>
      <c r="N16" s="34">
        <f>1086148.53</f>
        <v>1086148.53</v>
      </c>
      <c r="O16" s="35"/>
      <c r="P16" s="32">
        <f>1079586.9</f>
        <v>1079586.9</v>
      </c>
      <c r="Q16" s="36"/>
      <c r="R16" s="35"/>
      <c r="S16" s="4" t="s">
        <v>214</v>
      </c>
      <c r="T16" s="22">
        <f>6561.63</f>
        <v>6561.63</v>
      </c>
      <c r="U16" s="22"/>
    </row>
    <row r="17" spans="1:21" s="1" customFormat="1" ht="33.75" customHeight="1">
      <c r="A17" s="17" t="s">
        <v>13</v>
      </c>
      <c r="B17" s="17"/>
      <c r="C17" s="17"/>
      <c r="D17" s="17"/>
      <c r="E17" s="17"/>
      <c r="F17" s="17"/>
      <c r="G17" s="17"/>
      <c r="H17" s="18" t="s">
        <v>14</v>
      </c>
      <c r="I17" s="18"/>
      <c r="J17" s="18"/>
      <c r="K17" s="18"/>
      <c r="L17" s="18"/>
      <c r="M17" s="18"/>
      <c r="N17" s="34">
        <f>1086148.53</f>
        <v>1086148.53</v>
      </c>
      <c r="O17" s="35"/>
      <c r="P17" s="32">
        <f>1079586.9</f>
        <v>1079586.9</v>
      </c>
      <c r="Q17" s="36"/>
      <c r="R17" s="35"/>
      <c r="S17" s="4" t="s">
        <v>214</v>
      </c>
      <c r="T17" s="22">
        <f>6561.63</f>
        <v>6561.63</v>
      </c>
      <c r="U17" s="22"/>
    </row>
    <row r="18" spans="1:21" s="1" customFormat="1" ht="24" customHeight="1">
      <c r="A18" s="17" t="s">
        <v>15</v>
      </c>
      <c r="B18" s="17"/>
      <c r="C18" s="17"/>
      <c r="D18" s="17"/>
      <c r="E18" s="17"/>
      <c r="F18" s="17"/>
      <c r="G18" s="17"/>
      <c r="H18" s="18" t="s">
        <v>16</v>
      </c>
      <c r="I18" s="18"/>
      <c r="J18" s="18"/>
      <c r="K18" s="18"/>
      <c r="L18" s="18"/>
      <c r="M18" s="18"/>
      <c r="N18" s="34">
        <f>836802.88</f>
        <v>836802.88</v>
      </c>
      <c r="O18" s="35"/>
      <c r="P18" s="32">
        <f>830904.99</f>
        <v>830904.99</v>
      </c>
      <c r="Q18" s="36"/>
      <c r="R18" s="35"/>
      <c r="S18" s="4" t="s">
        <v>215</v>
      </c>
      <c r="T18" s="22">
        <f>5897.89</f>
        <v>5897.89</v>
      </c>
      <c r="U18" s="22"/>
    </row>
    <row r="19" spans="1:21" s="1" customFormat="1" ht="45" customHeight="1">
      <c r="A19" s="17" t="s">
        <v>17</v>
      </c>
      <c r="B19" s="17"/>
      <c r="C19" s="17"/>
      <c r="D19" s="17"/>
      <c r="E19" s="17"/>
      <c r="F19" s="17"/>
      <c r="G19" s="17"/>
      <c r="H19" s="18" t="s">
        <v>18</v>
      </c>
      <c r="I19" s="18"/>
      <c r="J19" s="18"/>
      <c r="K19" s="18"/>
      <c r="L19" s="18"/>
      <c r="M19" s="18"/>
      <c r="N19" s="34">
        <f>249345.65</f>
        <v>249345.65</v>
      </c>
      <c r="O19" s="35"/>
      <c r="P19" s="32">
        <f>248681.91</f>
        <v>248681.91</v>
      </c>
      <c r="Q19" s="36"/>
      <c r="R19" s="35"/>
      <c r="S19" s="4" t="s">
        <v>216</v>
      </c>
      <c r="T19" s="22">
        <f>663.74</f>
        <v>663.74</v>
      </c>
      <c r="U19" s="22"/>
    </row>
    <row r="20" spans="1:21" s="1" customFormat="1" ht="45" customHeight="1">
      <c r="A20" s="24" t="s">
        <v>20</v>
      </c>
      <c r="B20" s="25"/>
      <c r="C20" s="25"/>
      <c r="D20" s="25"/>
      <c r="E20" s="25"/>
      <c r="F20" s="25"/>
      <c r="G20" s="26"/>
      <c r="H20" s="27" t="s">
        <v>21</v>
      </c>
      <c r="I20" s="28"/>
      <c r="J20" s="28"/>
      <c r="K20" s="28"/>
      <c r="L20" s="28"/>
      <c r="M20" s="29"/>
      <c r="N20" s="34">
        <f>31818412.52</f>
        <v>31818412.52</v>
      </c>
      <c r="O20" s="35"/>
      <c r="P20" s="32">
        <f>31677730.97</f>
        <v>31677730.97</v>
      </c>
      <c r="Q20" s="36"/>
      <c r="R20" s="35"/>
      <c r="S20" s="4" t="s">
        <v>118</v>
      </c>
      <c r="T20" s="22">
        <f>140681.55</f>
        <v>140681.55</v>
      </c>
      <c r="U20" s="22"/>
    </row>
    <row r="21" spans="1:21" s="1" customFormat="1" ht="48" customHeight="1">
      <c r="A21" s="24" t="s">
        <v>22</v>
      </c>
      <c r="B21" s="25"/>
      <c r="C21" s="25"/>
      <c r="D21" s="25"/>
      <c r="E21" s="25"/>
      <c r="F21" s="25"/>
      <c r="G21" s="26"/>
      <c r="H21" s="27" t="s">
        <v>23</v>
      </c>
      <c r="I21" s="28"/>
      <c r="J21" s="28"/>
      <c r="K21" s="28"/>
      <c r="L21" s="28"/>
      <c r="M21" s="29"/>
      <c r="N21" s="34">
        <f>105000</f>
        <v>105000</v>
      </c>
      <c r="O21" s="35"/>
      <c r="P21" s="32">
        <f>105000</f>
        <v>105000</v>
      </c>
      <c r="Q21" s="36"/>
      <c r="R21" s="35"/>
      <c r="S21" s="4" t="s">
        <v>19</v>
      </c>
      <c r="T21" s="23" t="s">
        <v>0</v>
      </c>
      <c r="U21" s="23"/>
    </row>
    <row r="22" spans="1:21" s="1" customFormat="1" ht="24" customHeight="1">
      <c r="A22" s="24" t="s">
        <v>24</v>
      </c>
      <c r="B22" s="25"/>
      <c r="C22" s="25"/>
      <c r="D22" s="25"/>
      <c r="E22" s="25"/>
      <c r="F22" s="25"/>
      <c r="G22" s="26"/>
      <c r="H22" s="27" t="s">
        <v>25</v>
      </c>
      <c r="I22" s="28"/>
      <c r="J22" s="28"/>
      <c r="K22" s="28"/>
      <c r="L22" s="28"/>
      <c r="M22" s="29"/>
      <c r="N22" s="34">
        <f>105000</f>
        <v>105000</v>
      </c>
      <c r="O22" s="35"/>
      <c r="P22" s="32">
        <f>105000</f>
        <v>105000</v>
      </c>
      <c r="Q22" s="36"/>
      <c r="R22" s="35"/>
      <c r="S22" s="4" t="s">
        <v>19</v>
      </c>
      <c r="T22" s="23" t="s">
        <v>0</v>
      </c>
      <c r="U22" s="23"/>
    </row>
    <row r="23" spans="1:21" s="1" customFormat="1" ht="45" customHeight="1">
      <c r="A23" s="24" t="s">
        <v>26</v>
      </c>
      <c r="B23" s="25"/>
      <c r="C23" s="25"/>
      <c r="D23" s="25"/>
      <c r="E23" s="25"/>
      <c r="F23" s="25"/>
      <c r="G23" s="26"/>
      <c r="H23" s="27" t="s">
        <v>27</v>
      </c>
      <c r="I23" s="28"/>
      <c r="J23" s="28"/>
      <c r="K23" s="28"/>
      <c r="L23" s="28"/>
      <c r="M23" s="29"/>
      <c r="N23" s="34">
        <f>31713412.52</f>
        <v>31713412.52</v>
      </c>
      <c r="O23" s="35"/>
      <c r="P23" s="32">
        <f>31572730.97</f>
        <v>31572730.97</v>
      </c>
      <c r="Q23" s="36"/>
      <c r="R23" s="35"/>
      <c r="S23" s="4" t="s">
        <v>118</v>
      </c>
      <c r="T23" s="22">
        <f>140681.55</f>
        <v>140681.55</v>
      </c>
      <c r="U23" s="22"/>
    </row>
    <row r="24" spans="1:21" s="1" customFormat="1" ht="45" customHeight="1">
      <c r="A24" s="24" t="s">
        <v>28</v>
      </c>
      <c r="B24" s="25"/>
      <c r="C24" s="25"/>
      <c r="D24" s="25"/>
      <c r="E24" s="25"/>
      <c r="F24" s="25"/>
      <c r="G24" s="26"/>
      <c r="H24" s="27" t="s">
        <v>16</v>
      </c>
      <c r="I24" s="28"/>
      <c r="J24" s="28"/>
      <c r="K24" s="28"/>
      <c r="L24" s="28"/>
      <c r="M24" s="29"/>
      <c r="N24" s="34">
        <f>22095521.83</f>
        <v>22095521.83</v>
      </c>
      <c r="O24" s="35"/>
      <c r="P24" s="32">
        <f>22091470.91</f>
        <v>22091470.91</v>
      </c>
      <c r="Q24" s="36"/>
      <c r="R24" s="35"/>
      <c r="S24" s="4" t="s">
        <v>99</v>
      </c>
      <c r="T24" s="22">
        <f>4050.92</f>
        <v>4050.92</v>
      </c>
      <c r="U24" s="22"/>
    </row>
    <row r="25" spans="1:21" s="1" customFormat="1" ht="54.75" customHeight="1">
      <c r="A25" s="24" t="s">
        <v>29</v>
      </c>
      <c r="B25" s="25"/>
      <c r="C25" s="25"/>
      <c r="D25" s="25"/>
      <c r="E25" s="25"/>
      <c r="F25" s="25"/>
      <c r="G25" s="26"/>
      <c r="H25" s="27" t="s">
        <v>30</v>
      </c>
      <c r="I25" s="28"/>
      <c r="J25" s="28"/>
      <c r="K25" s="28"/>
      <c r="L25" s="28"/>
      <c r="M25" s="29"/>
      <c r="N25" s="34">
        <f>678426.67</f>
        <v>678426.67</v>
      </c>
      <c r="O25" s="35"/>
      <c r="P25" s="32">
        <f>678426.67</f>
        <v>678426.67</v>
      </c>
      <c r="Q25" s="36"/>
      <c r="R25" s="35"/>
      <c r="S25" s="4" t="s">
        <v>19</v>
      </c>
      <c r="T25" s="23" t="s">
        <v>0</v>
      </c>
      <c r="U25" s="23"/>
    </row>
    <row r="26" spans="1:21" s="1" customFormat="1" ht="39.75" customHeight="1">
      <c r="A26" s="24" t="s">
        <v>31</v>
      </c>
      <c r="B26" s="25"/>
      <c r="C26" s="25"/>
      <c r="D26" s="25"/>
      <c r="E26" s="25"/>
      <c r="F26" s="25"/>
      <c r="G26" s="26"/>
      <c r="H26" s="27" t="s">
        <v>18</v>
      </c>
      <c r="I26" s="28"/>
      <c r="J26" s="28"/>
      <c r="K26" s="28"/>
      <c r="L26" s="28"/>
      <c r="M26" s="29"/>
      <c r="N26" s="34">
        <f>6756222.65</f>
        <v>6756222.65</v>
      </c>
      <c r="O26" s="35"/>
      <c r="P26" s="32">
        <f>6756222.65</f>
        <v>6756222.65</v>
      </c>
      <c r="Q26" s="36"/>
      <c r="R26" s="35"/>
      <c r="S26" s="4" t="s">
        <v>19</v>
      </c>
      <c r="T26" s="23" t="s">
        <v>0</v>
      </c>
      <c r="U26" s="23"/>
    </row>
    <row r="27" spans="1:21" s="1" customFormat="1" ht="24" customHeight="1">
      <c r="A27" s="24" t="s">
        <v>32</v>
      </c>
      <c r="B27" s="25"/>
      <c r="C27" s="25"/>
      <c r="D27" s="25"/>
      <c r="E27" s="25"/>
      <c r="F27" s="25"/>
      <c r="G27" s="26"/>
      <c r="H27" s="27" t="s">
        <v>25</v>
      </c>
      <c r="I27" s="28"/>
      <c r="J27" s="28"/>
      <c r="K27" s="28"/>
      <c r="L27" s="28"/>
      <c r="M27" s="29"/>
      <c r="N27" s="34">
        <f>1907779.37</f>
        <v>1907779.37</v>
      </c>
      <c r="O27" s="35"/>
      <c r="P27" s="32">
        <f>1812914</f>
        <v>1812914</v>
      </c>
      <c r="Q27" s="36"/>
      <c r="R27" s="35"/>
      <c r="S27" s="4" t="s">
        <v>217</v>
      </c>
      <c r="T27" s="22">
        <f>94865.37</f>
        <v>94865.37</v>
      </c>
      <c r="U27" s="22"/>
    </row>
    <row r="28" spans="1:21" s="1" customFormat="1" ht="24" customHeight="1">
      <c r="A28" s="24" t="s">
        <v>33</v>
      </c>
      <c r="B28" s="25"/>
      <c r="C28" s="25"/>
      <c r="D28" s="25"/>
      <c r="E28" s="25"/>
      <c r="F28" s="25"/>
      <c r="G28" s="26"/>
      <c r="H28" s="27" t="s">
        <v>34</v>
      </c>
      <c r="I28" s="28"/>
      <c r="J28" s="28"/>
      <c r="K28" s="28"/>
      <c r="L28" s="28"/>
      <c r="M28" s="29"/>
      <c r="N28" s="34">
        <f>255639</f>
        <v>255639</v>
      </c>
      <c r="O28" s="35"/>
      <c r="P28" s="32">
        <f>213873.74</f>
        <v>213873.74</v>
      </c>
      <c r="Q28" s="36"/>
      <c r="R28" s="35"/>
      <c r="S28" s="4" t="s">
        <v>218</v>
      </c>
      <c r="T28" s="22">
        <f>41765.26</f>
        <v>41765.26</v>
      </c>
      <c r="U28" s="22"/>
    </row>
    <row r="29" spans="1:21" s="1" customFormat="1" ht="33.75" customHeight="1">
      <c r="A29" s="24" t="s">
        <v>35</v>
      </c>
      <c r="B29" s="25"/>
      <c r="C29" s="25"/>
      <c r="D29" s="25"/>
      <c r="E29" s="25"/>
      <c r="F29" s="25"/>
      <c r="G29" s="26"/>
      <c r="H29" s="27" t="s">
        <v>36</v>
      </c>
      <c r="I29" s="28"/>
      <c r="J29" s="28"/>
      <c r="K29" s="28"/>
      <c r="L29" s="28"/>
      <c r="M29" s="29"/>
      <c r="N29" s="34">
        <f>19823</f>
        <v>19823</v>
      </c>
      <c r="O29" s="35"/>
      <c r="P29" s="32">
        <f>19823</f>
        <v>19823</v>
      </c>
      <c r="Q29" s="36"/>
      <c r="R29" s="35"/>
      <c r="S29" s="4" t="s">
        <v>19</v>
      </c>
      <c r="T29" s="23" t="s">
        <v>0</v>
      </c>
      <c r="U29" s="23"/>
    </row>
    <row r="30" spans="1:21" s="1" customFormat="1" ht="45" customHeight="1">
      <c r="A30" s="24" t="s">
        <v>37</v>
      </c>
      <c r="B30" s="25"/>
      <c r="C30" s="25"/>
      <c r="D30" s="25"/>
      <c r="E30" s="25"/>
      <c r="F30" s="25"/>
      <c r="G30" s="26"/>
      <c r="H30" s="27" t="s">
        <v>38</v>
      </c>
      <c r="I30" s="28"/>
      <c r="J30" s="28"/>
      <c r="K30" s="28"/>
      <c r="L30" s="28"/>
      <c r="M30" s="29"/>
      <c r="N30" s="34">
        <f>67607</f>
        <v>67607</v>
      </c>
      <c r="O30" s="35"/>
      <c r="P30" s="32">
        <f>67607</f>
        <v>67607</v>
      </c>
      <c r="Q30" s="36"/>
      <c r="R30" s="35"/>
      <c r="S30" s="4" t="s">
        <v>19</v>
      </c>
      <c r="T30" s="23" t="s">
        <v>0</v>
      </c>
      <c r="U30" s="23"/>
    </row>
    <row r="31" spans="1:21" s="1" customFormat="1" ht="45" customHeight="1">
      <c r="A31" s="24" t="s">
        <v>219</v>
      </c>
      <c r="B31" s="25"/>
      <c r="C31" s="25"/>
      <c r="D31" s="25"/>
      <c r="E31" s="25"/>
      <c r="F31" s="25"/>
      <c r="G31" s="26"/>
      <c r="H31" s="27" t="s">
        <v>220</v>
      </c>
      <c r="I31" s="28"/>
      <c r="J31" s="28"/>
      <c r="K31" s="28"/>
      <c r="L31" s="28"/>
      <c r="M31" s="29"/>
      <c r="N31" s="34">
        <f>67607</f>
        <v>67607</v>
      </c>
      <c r="O31" s="35"/>
      <c r="P31" s="32">
        <f>67607</f>
        <v>67607</v>
      </c>
      <c r="Q31" s="36"/>
      <c r="R31" s="35"/>
      <c r="S31" s="4" t="s">
        <v>19</v>
      </c>
      <c r="T31" s="23" t="s">
        <v>0</v>
      </c>
      <c r="U31" s="23"/>
    </row>
    <row r="32" spans="1:21" s="1" customFormat="1" ht="13.5" customHeight="1">
      <c r="A32" s="24" t="s">
        <v>221</v>
      </c>
      <c r="B32" s="25"/>
      <c r="C32" s="25"/>
      <c r="D32" s="25"/>
      <c r="E32" s="25"/>
      <c r="F32" s="25"/>
      <c r="G32" s="26"/>
      <c r="H32" s="27" t="s">
        <v>66</v>
      </c>
      <c r="I32" s="28"/>
      <c r="J32" s="28"/>
      <c r="K32" s="28"/>
      <c r="L32" s="28"/>
      <c r="M32" s="29"/>
      <c r="N32" s="34">
        <f>67607</f>
        <v>67607</v>
      </c>
      <c r="O32" s="35"/>
      <c r="P32" s="32">
        <f>67607</f>
        <v>67607</v>
      </c>
      <c r="Q32" s="36"/>
      <c r="R32" s="35"/>
      <c r="S32" s="4" t="s">
        <v>19</v>
      </c>
      <c r="T32" s="23" t="s">
        <v>0</v>
      </c>
      <c r="U32" s="23"/>
    </row>
    <row r="33" spans="1:21" s="1" customFormat="1" ht="13.5" customHeight="1">
      <c r="A33" s="24" t="s">
        <v>222</v>
      </c>
      <c r="B33" s="25"/>
      <c r="C33" s="25"/>
      <c r="D33" s="25"/>
      <c r="E33" s="25"/>
      <c r="F33" s="25"/>
      <c r="G33" s="26"/>
      <c r="H33" s="27" t="s">
        <v>223</v>
      </c>
      <c r="I33" s="28"/>
      <c r="J33" s="28"/>
      <c r="K33" s="28"/>
      <c r="L33" s="28"/>
      <c r="M33" s="29"/>
      <c r="N33" s="34">
        <f>199700</f>
        <v>199700</v>
      </c>
      <c r="O33" s="35"/>
      <c r="P33" s="32">
        <f>199700</f>
        <v>199700</v>
      </c>
      <c r="Q33" s="36"/>
      <c r="R33" s="35"/>
      <c r="S33" s="4" t="s">
        <v>19</v>
      </c>
      <c r="T33" s="23" t="s">
        <v>0</v>
      </c>
      <c r="U33" s="23"/>
    </row>
    <row r="34" spans="1:21" s="1" customFormat="1" ht="33.75" customHeight="1">
      <c r="A34" s="24" t="s">
        <v>224</v>
      </c>
      <c r="B34" s="25"/>
      <c r="C34" s="25"/>
      <c r="D34" s="25"/>
      <c r="E34" s="25"/>
      <c r="F34" s="25"/>
      <c r="G34" s="26"/>
      <c r="H34" s="27" t="s">
        <v>225</v>
      </c>
      <c r="I34" s="28"/>
      <c r="J34" s="28"/>
      <c r="K34" s="28"/>
      <c r="L34" s="28"/>
      <c r="M34" s="29"/>
      <c r="N34" s="34">
        <f>199700</f>
        <v>199700</v>
      </c>
      <c r="O34" s="35"/>
      <c r="P34" s="32">
        <f>199700</f>
        <v>199700</v>
      </c>
      <c r="Q34" s="36"/>
      <c r="R34" s="35"/>
      <c r="S34" s="4" t="s">
        <v>19</v>
      </c>
      <c r="T34" s="23" t="s">
        <v>0</v>
      </c>
      <c r="U34" s="23"/>
    </row>
    <row r="35" spans="1:21" s="1" customFormat="1" ht="33.75" customHeight="1">
      <c r="A35" s="24" t="s">
        <v>226</v>
      </c>
      <c r="B35" s="25"/>
      <c r="C35" s="25"/>
      <c r="D35" s="25"/>
      <c r="E35" s="25"/>
      <c r="F35" s="25"/>
      <c r="G35" s="26"/>
      <c r="H35" s="27" t="s">
        <v>25</v>
      </c>
      <c r="I35" s="28"/>
      <c r="J35" s="28"/>
      <c r="K35" s="28"/>
      <c r="L35" s="28"/>
      <c r="M35" s="29"/>
      <c r="N35" s="34">
        <f>199700</f>
        <v>199700</v>
      </c>
      <c r="O35" s="35"/>
      <c r="P35" s="32">
        <f>199700</f>
        <v>199700</v>
      </c>
      <c r="Q35" s="36"/>
      <c r="R35" s="35"/>
      <c r="S35" s="4" t="s">
        <v>19</v>
      </c>
      <c r="T35" s="23" t="s">
        <v>0</v>
      </c>
      <c r="U35" s="23"/>
    </row>
    <row r="36" spans="1:21" s="1" customFormat="1" ht="24" customHeight="1">
      <c r="A36" s="24" t="s">
        <v>39</v>
      </c>
      <c r="B36" s="25"/>
      <c r="C36" s="25"/>
      <c r="D36" s="25"/>
      <c r="E36" s="25"/>
      <c r="F36" s="25"/>
      <c r="G36" s="26"/>
      <c r="H36" s="27" t="s">
        <v>40</v>
      </c>
      <c r="I36" s="28"/>
      <c r="J36" s="28"/>
      <c r="K36" s="28"/>
      <c r="L36" s="28"/>
      <c r="M36" s="29"/>
      <c r="N36" s="34">
        <f>144097.28</f>
        <v>144097.28</v>
      </c>
      <c r="O36" s="35"/>
      <c r="P36" s="37" t="s">
        <v>0</v>
      </c>
      <c r="Q36" s="38"/>
      <c r="R36" s="39"/>
      <c r="S36" s="4" t="s">
        <v>41</v>
      </c>
      <c r="T36" s="22">
        <f>144097.28</f>
        <v>144097.28</v>
      </c>
      <c r="U36" s="22"/>
    </row>
    <row r="37" spans="1:21" s="1" customFormat="1" ht="45" customHeight="1">
      <c r="A37" s="24" t="s">
        <v>42</v>
      </c>
      <c r="B37" s="25"/>
      <c r="C37" s="25"/>
      <c r="D37" s="25"/>
      <c r="E37" s="25"/>
      <c r="F37" s="25"/>
      <c r="G37" s="26"/>
      <c r="H37" s="27" t="s">
        <v>43</v>
      </c>
      <c r="I37" s="28"/>
      <c r="J37" s="28"/>
      <c r="K37" s="28"/>
      <c r="L37" s="28"/>
      <c r="M37" s="29"/>
      <c r="N37" s="34">
        <f>144097.28</f>
        <v>144097.28</v>
      </c>
      <c r="O37" s="35"/>
      <c r="P37" s="37" t="s">
        <v>0</v>
      </c>
      <c r="Q37" s="38"/>
      <c r="R37" s="39"/>
      <c r="S37" s="4" t="s">
        <v>41</v>
      </c>
      <c r="T37" s="22">
        <f>144097.28</f>
        <v>144097.28</v>
      </c>
      <c r="U37" s="22"/>
    </row>
    <row r="38" spans="1:21" s="1" customFormat="1" ht="13.5" customHeight="1">
      <c r="A38" s="24" t="s">
        <v>44</v>
      </c>
      <c r="B38" s="25"/>
      <c r="C38" s="25"/>
      <c r="D38" s="25"/>
      <c r="E38" s="25"/>
      <c r="F38" s="25"/>
      <c r="G38" s="26"/>
      <c r="H38" s="27" t="s">
        <v>45</v>
      </c>
      <c r="I38" s="28"/>
      <c r="J38" s="28"/>
      <c r="K38" s="28"/>
      <c r="L38" s="28"/>
      <c r="M38" s="29"/>
      <c r="N38" s="34">
        <f>144097.28</f>
        <v>144097.28</v>
      </c>
      <c r="O38" s="35"/>
      <c r="P38" s="37" t="s">
        <v>0</v>
      </c>
      <c r="Q38" s="38"/>
      <c r="R38" s="39"/>
      <c r="S38" s="4" t="s">
        <v>41</v>
      </c>
      <c r="T38" s="22">
        <f>144097.28</f>
        <v>144097.28</v>
      </c>
      <c r="U38" s="22"/>
    </row>
    <row r="39" spans="1:21" s="1" customFormat="1" ht="24" customHeight="1">
      <c r="A39" s="24" t="s">
        <v>46</v>
      </c>
      <c r="B39" s="25"/>
      <c r="C39" s="25"/>
      <c r="D39" s="25"/>
      <c r="E39" s="25"/>
      <c r="F39" s="25"/>
      <c r="G39" s="26"/>
      <c r="H39" s="27" t="s">
        <v>47</v>
      </c>
      <c r="I39" s="28"/>
      <c r="J39" s="28"/>
      <c r="K39" s="28"/>
      <c r="L39" s="28"/>
      <c r="M39" s="29"/>
      <c r="N39" s="34">
        <f>520553.39</f>
        <v>520553.39</v>
      </c>
      <c r="O39" s="35"/>
      <c r="P39" s="32">
        <f>511937.39</f>
        <v>511937.39</v>
      </c>
      <c r="Q39" s="36"/>
      <c r="R39" s="35"/>
      <c r="S39" s="4" t="s">
        <v>227</v>
      </c>
      <c r="T39" s="22">
        <f>8616</f>
        <v>8616</v>
      </c>
      <c r="U39" s="22"/>
    </row>
    <row r="40" spans="1:21" s="1" customFormat="1" ht="84" customHeight="1">
      <c r="A40" s="24" t="s">
        <v>48</v>
      </c>
      <c r="B40" s="25"/>
      <c r="C40" s="25"/>
      <c r="D40" s="25"/>
      <c r="E40" s="25"/>
      <c r="F40" s="25"/>
      <c r="G40" s="26"/>
      <c r="H40" s="27" t="s">
        <v>228</v>
      </c>
      <c r="I40" s="28"/>
      <c r="J40" s="28"/>
      <c r="K40" s="28"/>
      <c r="L40" s="28"/>
      <c r="M40" s="29"/>
      <c r="N40" s="34">
        <f>520553.39</f>
        <v>520553.39</v>
      </c>
      <c r="O40" s="35"/>
      <c r="P40" s="32">
        <f>511937.39</f>
        <v>511937.39</v>
      </c>
      <c r="Q40" s="36"/>
      <c r="R40" s="35"/>
      <c r="S40" s="4" t="s">
        <v>227</v>
      </c>
      <c r="T40" s="22">
        <f>8616</f>
        <v>8616</v>
      </c>
      <c r="U40" s="22"/>
    </row>
    <row r="41" spans="1:21" s="1" customFormat="1" ht="13.5" customHeight="1">
      <c r="A41" s="24" t="s">
        <v>49</v>
      </c>
      <c r="B41" s="25"/>
      <c r="C41" s="25"/>
      <c r="D41" s="25"/>
      <c r="E41" s="25"/>
      <c r="F41" s="25"/>
      <c r="G41" s="26"/>
      <c r="H41" s="27" t="s">
        <v>25</v>
      </c>
      <c r="I41" s="28"/>
      <c r="J41" s="28"/>
      <c r="K41" s="28"/>
      <c r="L41" s="28"/>
      <c r="M41" s="29"/>
      <c r="N41" s="34">
        <f>520553.39</f>
        <v>520553.39</v>
      </c>
      <c r="O41" s="35"/>
      <c r="P41" s="32">
        <f>511937.39</f>
        <v>511937.39</v>
      </c>
      <c r="Q41" s="36"/>
      <c r="R41" s="35"/>
      <c r="S41" s="4" t="s">
        <v>227</v>
      </c>
      <c r="T41" s="22">
        <f>8616</f>
        <v>8616</v>
      </c>
      <c r="U41" s="22"/>
    </row>
    <row r="42" spans="1:21" s="1" customFormat="1" ht="52.5" customHeight="1">
      <c r="A42" s="24" t="s">
        <v>51</v>
      </c>
      <c r="B42" s="25"/>
      <c r="C42" s="25"/>
      <c r="D42" s="25"/>
      <c r="E42" s="25"/>
      <c r="F42" s="25"/>
      <c r="G42" s="26"/>
      <c r="H42" s="27" t="s">
        <v>52</v>
      </c>
      <c r="I42" s="28"/>
      <c r="J42" s="28"/>
      <c r="K42" s="28"/>
      <c r="L42" s="28"/>
      <c r="M42" s="29"/>
      <c r="N42" s="34">
        <f>942712.47</f>
        <v>942712.47</v>
      </c>
      <c r="O42" s="35"/>
      <c r="P42" s="32">
        <f>912650.47</f>
        <v>912650.47</v>
      </c>
      <c r="Q42" s="36"/>
      <c r="R42" s="35"/>
      <c r="S42" s="4" t="s">
        <v>229</v>
      </c>
      <c r="T42" s="22">
        <f>30062</f>
        <v>30062</v>
      </c>
      <c r="U42" s="22"/>
    </row>
    <row r="43" spans="1:21" s="1" customFormat="1" ht="61.5" customHeight="1">
      <c r="A43" s="24" t="s">
        <v>53</v>
      </c>
      <c r="B43" s="25"/>
      <c r="C43" s="25"/>
      <c r="D43" s="25"/>
      <c r="E43" s="25"/>
      <c r="F43" s="25"/>
      <c r="G43" s="26"/>
      <c r="H43" s="27" t="s">
        <v>230</v>
      </c>
      <c r="I43" s="28"/>
      <c r="J43" s="28"/>
      <c r="K43" s="28"/>
      <c r="L43" s="28"/>
      <c r="M43" s="29"/>
      <c r="N43" s="34">
        <f>161919.47</f>
        <v>161919.47</v>
      </c>
      <c r="O43" s="35"/>
      <c r="P43" s="32">
        <f>161919.47</f>
        <v>161919.47</v>
      </c>
      <c r="Q43" s="36"/>
      <c r="R43" s="35"/>
      <c r="S43" s="4" t="s">
        <v>19</v>
      </c>
      <c r="T43" s="23" t="s">
        <v>0</v>
      </c>
      <c r="U43" s="23"/>
    </row>
    <row r="44" spans="1:21" s="1" customFormat="1" ht="13.5" customHeight="1">
      <c r="A44" s="24" t="s">
        <v>54</v>
      </c>
      <c r="B44" s="25"/>
      <c r="C44" s="25"/>
      <c r="D44" s="25"/>
      <c r="E44" s="25"/>
      <c r="F44" s="25"/>
      <c r="G44" s="26"/>
      <c r="H44" s="27" t="s">
        <v>25</v>
      </c>
      <c r="I44" s="28"/>
      <c r="J44" s="28"/>
      <c r="K44" s="28"/>
      <c r="L44" s="28"/>
      <c r="M44" s="29"/>
      <c r="N44" s="34">
        <f>161919.47</f>
        <v>161919.47</v>
      </c>
      <c r="O44" s="35"/>
      <c r="P44" s="32">
        <f>161919.47</f>
        <v>161919.47</v>
      </c>
      <c r="Q44" s="36"/>
      <c r="R44" s="35"/>
      <c r="S44" s="4" t="s">
        <v>19</v>
      </c>
      <c r="T44" s="23" t="s">
        <v>0</v>
      </c>
      <c r="U44" s="23"/>
    </row>
    <row r="45" spans="1:21" s="1" customFormat="1" ht="33.75" customHeight="1">
      <c r="A45" s="24" t="s">
        <v>55</v>
      </c>
      <c r="B45" s="25"/>
      <c r="C45" s="25"/>
      <c r="D45" s="25"/>
      <c r="E45" s="25"/>
      <c r="F45" s="25"/>
      <c r="G45" s="26"/>
      <c r="H45" s="27" t="s">
        <v>43</v>
      </c>
      <c r="I45" s="28"/>
      <c r="J45" s="28"/>
      <c r="K45" s="28"/>
      <c r="L45" s="28"/>
      <c r="M45" s="29"/>
      <c r="N45" s="34">
        <f>21400</f>
        <v>21400</v>
      </c>
      <c r="O45" s="35"/>
      <c r="P45" s="32">
        <f>21400</f>
        <v>21400</v>
      </c>
      <c r="Q45" s="36"/>
      <c r="R45" s="35"/>
      <c r="S45" s="4" t="s">
        <v>19</v>
      </c>
      <c r="T45" s="23" t="s">
        <v>0</v>
      </c>
      <c r="U45" s="23"/>
    </row>
    <row r="46" spans="1:21" s="1" customFormat="1" ht="15" customHeight="1">
      <c r="A46" s="24" t="s">
        <v>56</v>
      </c>
      <c r="B46" s="25"/>
      <c r="C46" s="25"/>
      <c r="D46" s="25"/>
      <c r="E46" s="25"/>
      <c r="F46" s="25"/>
      <c r="G46" s="26"/>
      <c r="H46" s="27" t="s">
        <v>25</v>
      </c>
      <c r="I46" s="28"/>
      <c r="J46" s="28"/>
      <c r="K46" s="28"/>
      <c r="L46" s="28"/>
      <c r="M46" s="29"/>
      <c r="N46" s="34">
        <f>21400</f>
        <v>21400</v>
      </c>
      <c r="O46" s="35"/>
      <c r="P46" s="32">
        <f>21400</f>
        <v>21400</v>
      </c>
      <c r="Q46" s="36"/>
      <c r="R46" s="35"/>
      <c r="S46" s="4" t="s">
        <v>19</v>
      </c>
      <c r="T46" s="23" t="s">
        <v>0</v>
      </c>
      <c r="U46" s="23"/>
    </row>
    <row r="47" spans="1:21" s="1" customFormat="1" ht="86.25" customHeight="1">
      <c r="A47" s="24" t="s">
        <v>57</v>
      </c>
      <c r="B47" s="25"/>
      <c r="C47" s="25"/>
      <c r="D47" s="25"/>
      <c r="E47" s="25"/>
      <c r="F47" s="25"/>
      <c r="G47" s="26"/>
      <c r="H47" s="27" t="s">
        <v>58</v>
      </c>
      <c r="I47" s="28"/>
      <c r="J47" s="28"/>
      <c r="K47" s="28"/>
      <c r="L47" s="28"/>
      <c r="M47" s="29"/>
      <c r="N47" s="34">
        <f>2000</f>
        <v>2000</v>
      </c>
      <c r="O47" s="35"/>
      <c r="P47" s="37" t="s">
        <v>0</v>
      </c>
      <c r="Q47" s="38"/>
      <c r="R47" s="39"/>
      <c r="S47" s="4" t="s">
        <v>41</v>
      </c>
      <c r="T47" s="22">
        <f>2000</f>
        <v>2000</v>
      </c>
      <c r="U47" s="22"/>
    </row>
    <row r="48" spans="1:21" s="1" customFormat="1" ht="24" customHeight="1">
      <c r="A48" s="24" t="s">
        <v>59</v>
      </c>
      <c r="B48" s="25"/>
      <c r="C48" s="25"/>
      <c r="D48" s="25"/>
      <c r="E48" s="25"/>
      <c r="F48" s="25"/>
      <c r="G48" s="26"/>
      <c r="H48" s="27" t="s">
        <v>25</v>
      </c>
      <c r="I48" s="28"/>
      <c r="J48" s="28"/>
      <c r="K48" s="28"/>
      <c r="L48" s="28"/>
      <c r="M48" s="29"/>
      <c r="N48" s="34">
        <f>2000</f>
        <v>2000</v>
      </c>
      <c r="O48" s="35"/>
      <c r="P48" s="37" t="s">
        <v>0</v>
      </c>
      <c r="Q48" s="38"/>
      <c r="R48" s="39"/>
      <c r="S48" s="4" t="s">
        <v>41</v>
      </c>
      <c r="T48" s="22">
        <f>2000</f>
        <v>2000</v>
      </c>
      <c r="U48" s="22"/>
    </row>
    <row r="49" spans="1:21" s="1" customFormat="1" ht="74.25" customHeight="1">
      <c r="A49" s="24" t="s">
        <v>60</v>
      </c>
      <c r="B49" s="25"/>
      <c r="C49" s="25"/>
      <c r="D49" s="25"/>
      <c r="E49" s="25"/>
      <c r="F49" s="25"/>
      <c r="G49" s="26"/>
      <c r="H49" s="27" t="s">
        <v>61</v>
      </c>
      <c r="I49" s="28"/>
      <c r="J49" s="28"/>
      <c r="K49" s="28"/>
      <c r="L49" s="28"/>
      <c r="M49" s="29"/>
      <c r="N49" s="34">
        <f>68062</f>
        <v>68062</v>
      </c>
      <c r="O49" s="35"/>
      <c r="P49" s="32">
        <f>40000</f>
        <v>40000</v>
      </c>
      <c r="Q49" s="36"/>
      <c r="R49" s="35"/>
      <c r="S49" s="4" t="s">
        <v>231</v>
      </c>
      <c r="T49" s="22">
        <f>28062</f>
        <v>28062</v>
      </c>
      <c r="U49" s="22"/>
    </row>
    <row r="50" spans="1:21" s="1" customFormat="1" ht="23.25" customHeight="1">
      <c r="A50" s="24" t="s">
        <v>62</v>
      </c>
      <c r="B50" s="25"/>
      <c r="C50" s="25"/>
      <c r="D50" s="25"/>
      <c r="E50" s="25"/>
      <c r="F50" s="25"/>
      <c r="G50" s="26"/>
      <c r="H50" s="27" t="s">
        <v>25</v>
      </c>
      <c r="I50" s="28"/>
      <c r="J50" s="28"/>
      <c r="K50" s="28"/>
      <c r="L50" s="28"/>
      <c r="M50" s="29"/>
      <c r="N50" s="34">
        <f>68062</f>
        <v>68062</v>
      </c>
      <c r="O50" s="35"/>
      <c r="P50" s="32">
        <f>40000</f>
        <v>40000</v>
      </c>
      <c r="Q50" s="36"/>
      <c r="R50" s="35"/>
      <c r="S50" s="4" t="s">
        <v>231</v>
      </c>
      <c r="T50" s="22">
        <f>28062</f>
        <v>28062</v>
      </c>
      <c r="U50" s="22"/>
    </row>
    <row r="51" spans="1:21" s="1" customFormat="1" ht="96.75" customHeight="1">
      <c r="A51" s="24" t="s">
        <v>63</v>
      </c>
      <c r="B51" s="25"/>
      <c r="C51" s="25"/>
      <c r="D51" s="25"/>
      <c r="E51" s="25"/>
      <c r="F51" s="25"/>
      <c r="G51" s="26"/>
      <c r="H51" s="27" t="s">
        <v>64</v>
      </c>
      <c r="I51" s="28"/>
      <c r="J51" s="28"/>
      <c r="K51" s="28"/>
      <c r="L51" s="28"/>
      <c r="M51" s="29"/>
      <c r="N51" s="34">
        <f>639331</f>
        <v>639331</v>
      </c>
      <c r="O51" s="35"/>
      <c r="P51" s="32">
        <f>639331</f>
        <v>639331</v>
      </c>
      <c r="Q51" s="36"/>
      <c r="R51" s="35"/>
      <c r="S51" s="4" t="s">
        <v>19</v>
      </c>
      <c r="T51" s="23" t="s">
        <v>0</v>
      </c>
      <c r="U51" s="23"/>
    </row>
    <row r="52" spans="1:21" s="1" customFormat="1" ht="23.25" customHeight="1">
      <c r="A52" s="24" t="s">
        <v>65</v>
      </c>
      <c r="B52" s="25"/>
      <c r="C52" s="25"/>
      <c r="D52" s="25"/>
      <c r="E52" s="25"/>
      <c r="F52" s="25"/>
      <c r="G52" s="26"/>
      <c r="H52" s="27" t="s">
        <v>66</v>
      </c>
      <c r="I52" s="28"/>
      <c r="J52" s="28"/>
      <c r="K52" s="28"/>
      <c r="L52" s="28"/>
      <c r="M52" s="29"/>
      <c r="N52" s="34">
        <f>639331</f>
        <v>639331</v>
      </c>
      <c r="O52" s="35"/>
      <c r="P52" s="32">
        <f>639331</f>
        <v>639331</v>
      </c>
      <c r="Q52" s="36"/>
      <c r="R52" s="35"/>
      <c r="S52" s="4" t="s">
        <v>19</v>
      </c>
      <c r="T52" s="23" t="s">
        <v>0</v>
      </c>
      <c r="U52" s="23"/>
    </row>
    <row r="53" spans="1:21" s="1" customFormat="1" ht="90.75" customHeight="1">
      <c r="A53" s="24" t="s">
        <v>67</v>
      </c>
      <c r="B53" s="25"/>
      <c r="C53" s="25"/>
      <c r="D53" s="25"/>
      <c r="E53" s="25"/>
      <c r="F53" s="25"/>
      <c r="G53" s="26"/>
      <c r="H53" s="27" t="s">
        <v>68</v>
      </c>
      <c r="I53" s="28"/>
      <c r="J53" s="28"/>
      <c r="K53" s="28"/>
      <c r="L53" s="28"/>
      <c r="M53" s="29"/>
      <c r="N53" s="34">
        <f>50000</f>
        <v>50000</v>
      </c>
      <c r="O53" s="35"/>
      <c r="P53" s="32">
        <f>50000</f>
        <v>50000</v>
      </c>
      <c r="Q53" s="36"/>
      <c r="R53" s="35"/>
      <c r="S53" s="4" t="s">
        <v>19</v>
      </c>
      <c r="T53" s="23" t="s">
        <v>0</v>
      </c>
      <c r="U53" s="23"/>
    </row>
    <row r="54" spans="1:21" s="1" customFormat="1" ht="23.25" customHeight="1">
      <c r="A54" s="24" t="s">
        <v>69</v>
      </c>
      <c r="B54" s="25"/>
      <c r="C54" s="25"/>
      <c r="D54" s="25"/>
      <c r="E54" s="25"/>
      <c r="F54" s="25"/>
      <c r="G54" s="26"/>
      <c r="H54" s="27" t="s">
        <v>66</v>
      </c>
      <c r="I54" s="28"/>
      <c r="J54" s="28"/>
      <c r="K54" s="28"/>
      <c r="L54" s="28"/>
      <c r="M54" s="29"/>
      <c r="N54" s="34">
        <f>50000</f>
        <v>50000</v>
      </c>
      <c r="O54" s="35"/>
      <c r="P54" s="32">
        <f>50000</f>
        <v>50000</v>
      </c>
      <c r="Q54" s="36"/>
      <c r="R54" s="35"/>
      <c r="S54" s="4" t="s">
        <v>19</v>
      </c>
      <c r="T54" s="23" t="s">
        <v>0</v>
      </c>
      <c r="U54" s="23"/>
    </row>
    <row r="55" spans="1:21" s="1" customFormat="1" ht="13.5" customHeight="1">
      <c r="A55" s="24" t="s">
        <v>70</v>
      </c>
      <c r="B55" s="25"/>
      <c r="C55" s="25"/>
      <c r="D55" s="25"/>
      <c r="E55" s="25"/>
      <c r="F55" s="25"/>
      <c r="G55" s="26"/>
      <c r="H55" s="27" t="s">
        <v>71</v>
      </c>
      <c r="I55" s="28"/>
      <c r="J55" s="28"/>
      <c r="K55" s="28"/>
      <c r="L55" s="28"/>
      <c r="M55" s="29"/>
      <c r="N55" s="34">
        <f>261610</f>
        <v>261610</v>
      </c>
      <c r="O55" s="35"/>
      <c r="P55" s="32">
        <f>261610</f>
        <v>261610</v>
      </c>
      <c r="Q55" s="36"/>
      <c r="R55" s="35"/>
      <c r="S55" s="4" t="s">
        <v>19</v>
      </c>
      <c r="T55" s="23" t="s">
        <v>0</v>
      </c>
      <c r="U55" s="23"/>
    </row>
    <row r="56" spans="1:21" s="1" customFormat="1" ht="89.25" customHeight="1">
      <c r="A56" s="24" t="s">
        <v>72</v>
      </c>
      <c r="B56" s="25"/>
      <c r="C56" s="25"/>
      <c r="D56" s="25"/>
      <c r="E56" s="25"/>
      <c r="F56" s="25"/>
      <c r="G56" s="26"/>
      <c r="H56" s="27" t="s">
        <v>232</v>
      </c>
      <c r="I56" s="28"/>
      <c r="J56" s="28"/>
      <c r="K56" s="28"/>
      <c r="L56" s="28"/>
      <c r="M56" s="29"/>
      <c r="N56" s="34">
        <f>261610</f>
        <v>261610</v>
      </c>
      <c r="O56" s="35"/>
      <c r="P56" s="32">
        <f>261610</f>
        <v>261610</v>
      </c>
      <c r="Q56" s="36"/>
      <c r="R56" s="35"/>
      <c r="S56" s="4" t="s">
        <v>19</v>
      </c>
      <c r="T56" s="23" t="s">
        <v>0</v>
      </c>
      <c r="U56" s="23"/>
    </row>
    <row r="57" spans="1:21" s="1" customFormat="1" ht="13.5" customHeight="1">
      <c r="A57" s="24" t="s">
        <v>73</v>
      </c>
      <c r="B57" s="25"/>
      <c r="C57" s="25"/>
      <c r="D57" s="25"/>
      <c r="E57" s="25"/>
      <c r="F57" s="25"/>
      <c r="G57" s="26"/>
      <c r="H57" s="27" t="s">
        <v>25</v>
      </c>
      <c r="I57" s="28"/>
      <c r="J57" s="28"/>
      <c r="K57" s="28"/>
      <c r="L57" s="28"/>
      <c r="M57" s="29"/>
      <c r="N57" s="34">
        <f>261610</f>
        <v>261610</v>
      </c>
      <c r="O57" s="35"/>
      <c r="P57" s="32">
        <f>261610</f>
        <v>261610</v>
      </c>
      <c r="Q57" s="36"/>
      <c r="R57" s="35"/>
      <c r="S57" s="4" t="s">
        <v>19</v>
      </c>
      <c r="T57" s="23" t="s">
        <v>0</v>
      </c>
      <c r="U57" s="23"/>
    </row>
    <row r="58" spans="1:21" s="1" customFormat="1" ht="24" customHeight="1">
      <c r="A58" s="24" t="s">
        <v>74</v>
      </c>
      <c r="B58" s="25"/>
      <c r="C58" s="25"/>
      <c r="D58" s="25"/>
      <c r="E58" s="25"/>
      <c r="F58" s="25"/>
      <c r="G58" s="26"/>
      <c r="H58" s="27" t="s">
        <v>75</v>
      </c>
      <c r="I58" s="28"/>
      <c r="J58" s="28"/>
      <c r="K58" s="28"/>
      <c r="L58" s="28"/>
      <c r="M58" s="29"/>
      <c r="N58" s="34">
        <f>10782537.53</f>
        <v>10782537.53</v>
      </c>
      <c r="O58" s="35"/>
      <c r="P58" s="32">
        <f>10750630.05</f>
        <v>10750630.05</v>
      </c>
      <c r="Q58" s="36"/>
      <c r="R58" s="35"/>
      <c r="S58" s="4" t="s">
        <v>233</v>
      </c>
      <c r="T58" s="22">
        <f>31907.48</f>
        <v>31907.48</v>
      </c>
      <c r="U58" s="22"/>
    </row>
    <row r="59" spans="1:21" s="1" customFormat="1" ht="88.5" customHeight="1">
      <c r="A59" s="24" t="s">
        <v>76</v>
      </c>
      <c r="B59" s="25"/>
      <c r="C59" s="25"/>
      <c r="D59" s="25"/>
      <c r="E59" s="25"/>
      <c r="F59" s="25"/>
      <c r="G59" s="26"/>
      <c r="H59" s="27" t="s">
        <v>234</v>
      </c>
      <c r="I59" s="28"/>
      <c r="J59" s="28"/>
      <c r="K59" s="28"/>
      <c r="L59" s="28"/>
      <c r="M59" s="29"/>
      <c r="N59" s="34">
        <f>1030040.6</f>
        <v>1030040.6</v>
      </c>
      <c r="O59" s="35"/>
      <c r="P59" s="32">
        <f>1029299.46</f>
        <v>1029299.46</v>
      </c>
      <c r="Q59" s="36"/>
      <c r="R59" s="35"/>
      <c r="S59" s="4" t="s">
        <v>235</v>
      </c>
      <c r="T59" s="22">
        <f>741.14</f>
        <v>741.14</v>
      </c>
      <c r="U59" s="22"/>
    </row>
    <row r="60" spans="1:21" s="1" customFormat="1" ht="13.5" customHeight="1">
      <c r="A60" s="24" t="s">
        <v>236</v>
      </c>
      <c r="B60" s="25"/>
      <c r="C60" s="25"/>
      <c r="D60" s="25"/>
      <c r="E60" s="25"/>
      <c r="F60" s="25"/>
      <c r="G60" s="26"/>
      <c r="H60" s="27" t="s">
        <v>25</v>
      </c>
      <c r="I60" s="28"/>
      <c r="J60" s="28"/>
      <c r="K60" s="28"/>
      <c r="L60" s="28"/>
      <c r="M60" s="29"/>
      <c r="N60" s="34">
        <f>231281.13</f>
        <v>231281.13</v>
      </c>
      <c r="O60" s="35"/>
      <c r="P60" s="32">
        <f>230539.99</f>
        <v>230539.99</v>
      </c>
      <c r="Q60" s="36"/>
      <c r="R60" s="35"/>
      <c r="S60" s="4" t="s">
        <v>237</v>
      </c>
      <c r="T60" s="22">
        <f>741.14</f>
        <v>741.14</v>
      </c>
      <c r="U60" s="22"/>
    </row>
    <row r="61" spans="1:21" s="1" customFormat="1" ht="13.5" customHeight="1">
      <c r="A61" s="24" t="s">
        <v>77</v>
      </c>
      <c r="B61" s="25"/>
      <c r="C61" s="25"/>
      <c r="D61" s="25"/>
      <c r="E61" s="25"/>
      <c r="F61" s="25"/>
      <c r="G61" s="26"/>
      <c r="H61" s="27" t="s">
        <v>78</v>
      </c>
      <c r="I61" s="28"/>
      <c r="J61" s="28"/>
      <c r="K61" s="28"/>
      <c r="L61" s="28"/>
      <c r="M61" s="29"/>
      <c r="N61" s="34">
        <f>798759.47</f>
        <v>798759.47</v>
      </c>
      <c r="O61" s="35"/>
      <c r="P61" s="32">
        <f>798759.47</f>
        <v>798759.47</v>
      </c>
      <c r="Q61" s="36"/>
      <c r="R61" s="35"/>
      <c r="S61" s="4" t="s">
        <v>19</v>
      </c>
      <c r="T61" s="23" t="s">
        <v>0</v>
      </c>
      <c r="U61" s="23"/>
    </row>
    <row r="62" spans="1:21" s="1" customFormat="1" ht="96.75" customHeight="1">
      <c r="A62" s="24" t="s">
        <v>79</v>
      </c>
      <c r="B62" s="25"/>
      <c r="C62" s="25"/>
      <c r="D62" s="25"/>
      <c r="E62" s="25"/>
      <c r="F62" s="25"/>
      <c r="G62" s="26"/>
      <c r="H62" s="27" t="s">
        <v>238</v>
      </c>
      <c r="I62" s="28"/>
      <c r="J62" s="28"/>
      <c r="K62" s="28"/>
      <c r="L62" s="28"/>
      <c r="M62" s="29"/>
      <c r="N62" s="34">
        <f>9752496.93</f>
        <v>9752496.93</v>
      </c>
      <c r="O62" s="35"/>
      <c r="P62" s="32">
        <f>9721330.59</f>
        <v>9721330.59</v>
      </c>
      <c r="Q62" s="36"/>
      <c r="R62" s="35"/>
      <c r="S62" s="4" t="s">
        <v>237</v>
      </c>
      <c r="T62" s="22">
        <f>31166.34</f>
        <v>31166.34</v>
      </c>
      <c r="U62" s="22"/>
    </row>
    <row r="63" spans="1:21" s="1" customFormat="1" ht="21" customHeight="1">
      <c r="A63" s="24" t="s">
        <v>239</v>
      </c>
      <c r="B63" s="25"/>
      <c r="C63" s="25"/>
      <c r="D63" s="25"/>
      <c r="E63" s="25"/>
      <c r="F63" s="25"/>
      <c r="G63" s="26"/>
      <c r="H63" s="27" t="s">
        <v>25</v>
      </c>
      <c r="I63" s="28"/>
      <c r="J63" s="28"/>
      <c r="K63" s="28"/>
      <c r="L63" s="28"/>
      <c r="M63" s="29"/>
      <c r="N63" s="34">
        <f>9752496.93</f>
        <v>9752496.93</v>
      </c>
      <c r="O63" s="35"/>
      <c r="P63" s="32">
        <f>9721330.59</f>
        <v>9721330.59</v>
      </c>
      <c r="Q63" s="36"/>
      <c r="R63" s="35"/>
      <c r="S63" s="4" t="s">
        <v>237</v>
      </c>
      <c r="T63" s="22">
        <f>31166.34</f>
        <v>31166.34</v>
      </c>
      <c r="U63" s="22"/>
    </row>
    <row r="64" spans="1:21" s="1" customFormat="1" ht="27" customHeight="1">
      <c r="A64" s="24" t="s">
        <v>80</v>
      </c>
      <c r="B64" s="25"/>
      <c r="C64" s="25"/>
      <c r="D64" s="25"/>
      <c r="E64" s="25"/>
      <c r="F64" s="25"/>
      <c r="G64" s="26"/>
      <c r="H64" s="27" t="s">
        <v>81</v>
      </c>
      <c r="I64" s="28"/>
      <c r="J64" s="28"/>
      <c r="K64" s="28"/>
      <c r="L64" s="28"/>
      <c r="M64" s="29"/>
      <c r="N64" s="34">
        <f>46522234.9</f>
        <v>46522234.9</v>
      </c>
      <c r="O64" s="35"/>
      <c r="P64" s="32">
        <f>46023774.73</f>
        <v>46023774.73</v>
      </c>
      <c r="Q64" s="36"/>
      <c r="R64" s="35"/>
      <c r="S64" s="4" t="s">
        <v>149</v>
      </c>
      <c r="T64" s="22">
        <f>498460.17</f>
        <v>498460.17</v>
      </c>
      <c r="U64" s="22"/>
    </row>
    <row r="65" spans="1:21" s="1" customFormat="1" ht="81" customHeight="1">
      <c r="A65" s="24" t="s">
        <v>82</v>
      </c>
      <c r="B65" s="25"/>
      <c r="C65" s="25"/>
      <c r="D65" s="25"/>
      <c r="E65" s="25"/>
      <c r="F65" s="25"/>
      <c r="G65" s="26"/>
      <c r="H65" s="27" t="s">
        <v>240</v>
      </c>
      <c r="I65" s="28"/>
      <c r="J65" s="28"/>
      <c r="K65" s="28"/>
      <c r="L65" s="28"/>
      <c r="M65" s="29"/>
      <c r="N65" s="34">
        <f>20565707.74</f>
        <v>20565707.74</v>
      </c>
      <c r="O65" s="35"/>
      <c r="P65" s="32">
        <f>20340096.24</f>
        <v>20340096.24</v>
      </c>
      <c r="Q65" s="36"/>
      <c r="R65" s="35"/>
      <c r="S65" s="4" t="s">
        <v>241</v>
      </c>
      <c r="T65" s="22">
        <f>225611.5</f>
        <v>225611.5</v>
      </c>
      <c r="U65" s="22"/>
    </row>
    <row r="66" spans="1:21" s="1" customFormat="1" ht="13.5" customHeight="1">
      <c r="A66" s="24" t="s">
        <v>84</v>
      </c>
      <c r="B66" s="25"/>
      <c r="C66" s="25"/>
      <c r="D66" s="25"/>
      <c r="E66" s="25"/>
      <c r="F66" s="25"/>
      <c r="G66" s="26"/>
      <c r="H66" s="27" t="s">
        <v>25</v>
      </c>
      <c r="I66" s="28"/>
      <c r="J66" s="28"/>
      <c r="K66" s="28"/>
      <c r="L66" s="28"/>
      <c r="M66" s="29"/>
      <c r="N66" s="34">
        <f>20565707.74</f>
        <v>20565707.74</v>
      </c>
      <c r="O66" s="35"/>
      <c r="P66" s="32">
        <f>20340096.24</f>
        <v>20340096.24</v>
      </c>
      <c r="Q66" s="36"/>
      <c r="R66" s="35"/>
      <c r="S66" s="4" t="s">
        <v>241</v>
      </c>
      <c r="T66" s="22">
        <f>225611.5</f>
        <v>225611.5</v>
      </c>
      <c r="U66" s="22"/>
    </row>
    <row r="67" spans="1:21" s="1" customFormat="1" ht="13.5" customHeight="1">
      <c r="A67" s="17" t="s">
        <v>85</v>
      </c>
      <c r="B67" s="17"/>
      <c r="C67" s="17"/>
      <c r="D67" s="17"/>
      <c r="E67" s="17"/>
      <c r="F67" s="17"/>
      <c r="G67" s="17"/>
      <c r="H67" s="18" t="s">
        <v>50</v>
      </c>
      <c r="I67" s="18"/>
      <c r="J67" s="18"/>
      <c r="K67" s="18"/>
      <c r="L67" s="18"/>
      <c r="M67" s="18"/>
      <c r="N67" s="7"/>
      <c r="O67" s="8"/>
      <c r="P67" s="36"/>
      <c r="Q67" s="40"/>
      <c r="R67" s="8"/>
      <c r="S67" s="4"/>
      <c r="T67" s="34"/>
      <c r="U67" s="35"/>
    </row>
    <row r="68" spans="1:21" s="1" customFormat="1" ht="96.75" customHeight="1">
      <c r="A68" s="24" t="s">
        <v>242</v>
      </c>
      <c r="B68" s="25"/>
      <c r="C68" s="25"/>
      <c r="D68" s="25"/>
      <c r="E68" s="25"/>
      <c r="F68" s="25"/>
      <c r="G68" s="26"/>
      <c r="H68" s="27" t="s">
        <v>243</v>
      </c>
      <c r="I68" s="28"/>
      <c r="J68" s="28"/>
      <c r="K68" s="28"/>
      <c r="L68" s="28"/>
      <c r="M68" s="29"/>
      <c r="N68" s="34">
        <f>9057710.29</f>
        <v>9057710.29</v>
      </c>
      <c r="O68" s="35"/>
      <c r="P68" s="32">
        <f>9057710.29</f>
        <v>9057710.29</v>
      </c>
      <c r="Q68" s="36"/>
      <c r="R68" s="35"/>
      <c r="S68" s="4" t="s">
        <v>19</v>
      </c>
      <c r="T68" s="23" t="s">
        <v>0</v>
      </c>
      <c r="U68" s="23"/>
    </row>
    <row r="69" spans="1:21" s="1" customFormat="1" ht="13.5" customHeight="1">
      <c r="A69" s="24" t="s">
        <v>244</v>
      </c>
      <c r="B69" s="25"/>
      <c r="C69" s="25"/>
      <c r="D69" s="25"/>
      <c r="E69" s="25"/>
      <c r="F69" s="25"/>
      <c r="G69" s="26"/>
      <c r="H69" s="27" t="s">
        <v>25</v>
      </c>
      <c r="I69" s="28"/>
      <c r="J69" s="28"/>
      <c r="K69" s="28"/>
      <c r="L69" s="28"/>
      <c r="M69" s="29"/>
      <c r="N69" s="34">
        <f>9057710.29</f>
        <v>9057710.29</v>
      </c>
      <c r="O69" s="35"/>
      <c r="P69" s="32">
        <f>9057710.29</f>
        <v>9057710.29</v>
      </c>
      <c r="Q69" s="36"/>
      <c r="R69" s="35"/>
      <c r="S69" s="4" t="s">
        <v>19</v>
      </c>
      <c r="T69" s="23" t="s">
        <v>0</v>
      </c>
      <c r="U69" s="23"/>
    </row>
    <row r="70" spans="1:21" s="1" customFormat="1" ht="94.5" customHeight="1">
      <c r="A70" s="24" t="s">
        <v>245</v>
      </c>
      <c r="B70" s="25"/>
      <c r="C70" s="25"/>
      <c r="D70" s="25"/>
      <c r="E70" s="25"/>
      <c r="F70" s="25"/>
      <c r="G70" s="26"/>
      <c r="H70" s="27" t="s">
        <v>246</v>
      </c>
      <c r="I70" s="28"/>
      <c r="J70" s="28"/>
      <c r="K70" s="28"/>
      <c r="L70" s="28"/>
      <c r="M70" s="29"/>
      <c r="N70" s="34">
        <f>6094003.46</f>
        <v>6094003.46</v>
      </c>
      <c r="O70" s="35"/>
      <c r="P70" s="32">
        <f>5821154.79</f>
        <v>5821154.79</v>
      </c>
      <c r="Q70" s="36"/>
      <c r="R70" s="35"/>
      <c r="S70" s="4" t="s">
        <v>247</v>
      </c>
      <c r="T70" s="22">
        <f>272848.67</f>
        <v>272848.67</v>
      </c>
      <c r="U70" s="22"/>
    </row>
    <row r="71" spans="1:21" s="1" customFormat="1" ht="21" customHeight="1">
      <c r="A71" s="24" t="s">
        <v>248</v>
      </c>
      <c r="B71" s="25"/>
      <c r="C71" s="25"/>
      <c r="D71" s="25"/>
      <c r="E71" s="25"/>
      <c r="F71" s="25"/>
      <c r="G71" s="26"/>
      <c r="H71" s="27" t="s">
        <v>25</v>
      </c>
      <c r="I71" s="28"/>
      <c r="J71" s="28"/>
      <c r="K71" s="28"/>
      <c r="L71" s="28"/>
      <c r="M71" s="29"/>
      <c r="N71" s="34">
        <f>6094003.46</f>
        <v>6094003.46</v>
      </c>
      <c r="O71" s="35"/>
      <c r="P71" s="32">
        <f>5821154.79</f>
        <v>5821154.79</v>
      </c>
      <c r="Q71" s="36"/>
      <c r="R71" s="35"/>
      <c r="S71" s="4" t="s">
        <v>247</v>
      </c>
      <c r="T71" s="22">
        <f>272848.67</f>
        <v>272848.67</v>
      </c>
      <c r="U71" s="22"/>
    </row>
    <row r="72" spans="1:21" s="1" customFormat="1" ht="108" customHeight="1">
      <c r="A72" s="24" t="s">
        <v>86</v>
      </c>
      <c r="B72" s="25"/>
      <c r="C72" s="25"/>
      <c r="D72" s="25"/>
      <c r="E72" s="25"/>
      <c r="F72" s="25"/>
      <c r="G72" s="26"/>
      <c r="H72" s="27" t="s">
        <v>249</v>
      </c>
      <c r="I72" s="28"/>
      <c r="J72" s="28"/>
      <c r="K72" s="28"/>
      <c r="L72" s="28"/>
      <c r="M72" s="29"/>
      <c r="N72" s="34">
        <f>10804813.41</f>
        <v>10804813.41</v>
      </c>
      <c r="O72" s="35"/>
      <c r="P72" s="32">
        <f>10804813.41</f>
        <v>10804813.41</v>
      </c>
      <c r="Q72" s="36"/>
      <c r="R72" s="35"/>
      <c r="S72" s="4" t="s">
        <v>19</v>
      </c>
      <c r="T72" s="23" t="s">
        <v>0</v>
      </c>
      <c r="U72" s="23"/>
    </row>
    <row r="73" spans="1:21" s="1" customFormat="1" ht="21" customHeight="1">
      <c r="A73" s="24" t="s">
        <v>87</v>
      </c>
      <c r="B73" s="25"/>
      <c r="C73" s="25"/>
      <c r="D73" s="25"/>
      <c r="E73" s="25"/>
      <c r="F73" s="25"/>
      <c r="G73" s="26"/>
      <c r="H73" s="27" t="s">
        <v>25</v>
      </c>
      <c r="I73" s="28"/>
      <c r="J73" s="28"/>
      <c r="K73" s="28"/>
      <c r="L73" s="28"/>
      <c r="M73" s="29"/>
      <c r="N73" s="34">
        <f>10804813.41</f>
        <v>10804813.41</v>
      </c>
      <c r="O73" s="35"/>
      <c r="P73" s="32">
        <f>10804813.41</f>
        <v>10804813.41</v>
      </c>
      <c r="Q73" s="36"/>
      <c r="R73" s="35"/>
      <c r="S73" s="4" t="s">
        <v>19</v>
      </c>
      <c r="T73" s="23" t="s">
        <v>0</v>
      </c>
      <c r="U73" s="23"/>
    </row>
    <row r="74" spans="1:21" s="1" customFormat="1" ht="13.5" customHeight="1">
      <c r="A74" s="24" t="s">
        <v>88</v>
      </c>
      <c r="B74" s="25"/>
      <c r="C74" s="25"/>
      <c r="D74" s="25"/>
      <c r="E74" s="25"/>
      <c r="F74" s="25"/>
      <c r="G74" s="26"/>
      <c r="H74" s="27" t="s">
        <v>89</v>
      </c>
      <c r="I74" s="28"/>
      <c r="J74" s="28"/>
      <c r="K74" s="28"/>
      <c r="L74" s="28"/>
      <c r="M74" s="29"/>
      <c r="N74" s="34">
        <f>534000</f>
        <v>534000</v>
      </c>
      <c r="O74" s="35"/>
      <c r="P74" s="32">
        <f>497419.93</f>
        <v>497419.93</v>
      </c>
      <c r="Q74" s="36"/>
      <c r="R74" s="35"/>
      <c r="S74" s="4" t="s">
        <v>250</v>
      </c>
      <c r="T74" s="22">
        <f>36580.07</f>
        <v>36580.07</v>
      </c>
      <c r="U74" s="22"/>
    </row>
    <row r="75" spans="1:21" s="1" customFormat="1" ht="59.25" customHeight="1">
      <c r="A75" s="24" t="s">
        <v>90</v>
      </c>
      <c r="B75" s="25"/>
      <c r="C75" s="25"/>
      <c r="D75" s="25"/>
      <c r="E75" s="25"/>
      <c r="F75" s="25"/>
      <c r="G75" s="26"/>
      <c r="H75" s="27" t="s">
        <v>251</v>
      </c>
      <c r="I75" s="28"/>
      <c r="J75" s="28"/>
      <c r="K75" s="28"/>
      <c r="L75" s="28"/>
      <c r="M75" s="29"/>
      <c r="N75" s="34">
        <f>136905.77</f>
        <v>136905.77</v>
      </c>
      <c r="O75" s="35"/>
      <c r="P75" s="32">
        <f>136224.05</f>
        <v>136224.05</v>
      </c>
      <c r="Q75" s="36"/>
      <c r="R75" s="35"/>
      <c r="S75" s="4" t="s">
        <v>252</v>
      </c>
      <c r="T75" s="22">
        <f>681.72</f>
        <v>681.72</v>
      </c>
      <c r="U75" s="22"/>
    </row>
    <row r="76" spans="1:21" s="1" customFormat="1" ht="13.5" customHeight="1">
      <c r="A76" s="24" t="s">
        <v>91</v>
      </c>
      <c r="B76" s="25"/>
      <c r="C76" s="25"/>
      <c r="D76" s="25"/>
      <c r="E76" s="25"/>
      <c r="F76" s="25"/>
      <c r="G76" s="26"/>
      <c r="H76" s="27" t="s">
        <v>25</v>
      </c>
      <c r="I76" s="28"/>
      <c r="J76" s="28"/>
      <c r="K76" s="28"/>
      <c r="L76" s="28"/>
      <c r="M76" s="29"/>
      <c r="N76" s="34">
        <f>136905.77</f>
        <v>136905.77</v>
      </c>
      <c r="O76" s="35"/>
      <c r="P76" s="32">
        <f>136224.05</f>
        <v>136224.05</v>
      </c>
      <c r="Q76" s="36"/>
      <c r="R76" s="35"/>
      <c r="S76" s="4" t="s">
        <v>252</v>
      </c>
      <c r="T76" s="22">
        <f>681.72</f>
        <v>681.72</v>
      </c>
      <c r="U76" s="22"/>
    </row>
    <row r="77" spans="1:21" s="1" customFormat="1" ht="57.75" customHeight="1">
      <c r="A77" s="24" t="s">
        <v>92</v>
      </c>
      <c r="B77" s="25"/>
      <c r="C77" s="25"/>
      <c r="D77" s="25"/>
      <c r="E77" s="25"/>
      <c r="F77" s="25"/>
      <c r="G77" s="26"/>
      <c r="H77" s="27" t="s">
        <v>253</v>
      </c>
      <c r="I77" s="28"/>
      <c r="J77" s="28"/>
      <c r="K77" s="28"/>
      <c r="L77" s="28"/>
      <c r="M77" s="29"/>
      <c r="N77" s="34">
        <f>94094.23</f>
        <v>94094.23</v>
      </c>
      <c r="O77" s="35"/>
      <c r="P77" s="32">
        <f>59094.23</f>
        <v>59094.23</v>
      </c>
      <c r="Q77" s="36"/>
      <c r="R77" s="35"/>
      <c r="S77" s="4" t="s">
        <v>254</v>
      </c>
      <c r="T77" s="22">
        <f>35000</f>
        <v>35000</v>
      </c>
      <c r="U77" s="22"/>
    </row>
    <row r="78" spans="1:21" s="1" customFormat="1" ht="13.5" customHeight="1">
      <c r="A78" s="24" t="s">
        <v>93</v>
      </c>
      <c r="B78" s="25"/>
      <c r="C78" s="25"/>
      <c r="D78" s="25"/>
      <c r="E78" s="25"/>
      <c r="F78" s="25"/>
      <c r="G78" s="26"/>
      <c r="H78" s="27" t="s">
        <v>25</v>
      </c>
      <c r="I78" s="28"/>
      <c r="J78" s="28"/>
      <c r="K78" s="28"/>
      <c r="L78" s="28"/>
      <c r="M78" s="29"/>
      <c r="N78" s="34">
        <f>94094.23</f>
        <v>94094.23</v>
      </c>
      <c r="O78" s="35"/>
      <c r="P78" s="32">
        <f>59094.23</f>
        <v>59094.23</v>
      </c>
      <c r="Q78" s="36"/>
      <c r="R78" s="35"/>
      <c r="S78" s="4" t="s">
        <v>254</v>
      </c>
      <c r="T78" s="22">
        <f>35000</f>
        <v>35000</v>
      </c>
      <c r="U78" s="22"/>
    </row>
    <row r="79" spans="1:21" s="1" customFormat="1" ht="61.5" customHeight="1">
      <c r="A79" s="24" t="s">
        <v>94</v>
      </c>
      <c r="B79" s="25"/>
      <c r="C79" s="25"/>
      <c r="D79" s="25"/>
      <c r="E79" s="25"/>
      <c r="F79" s="25"/>
      <c r="G79" s="26"/>
      <c r="H79" s="27" t="s">
        <v>255</v>
      </c>
      <c r="I79" s="28"/>
      <c r="J79" s="28"/>
      <c r="K79" s="28"/>
      <c r="L79" s="28"/>
      <c r="M79" s="29"/>
      <c r="N79" s="34">
        <f>303000</f>
        <v>303000</v>
      </c>
      <c r="O79" s="35"/>
      <c r="P79" s="32">
        <f>302101.65</f>
        <v>302101.65</v>
      </c>
      <c r="Q79" s="36"/>
      <c r="R79" s="35"/>
      <c r="S79" s="4" t="s">
        <v>233</v>
      </c>
      <c r="T79" s="22">
        <f>898.35</f>
        <v>898.35</v>
      </c>
      <c r="U79" s="22"/>
    </row>
    <row r="80" spans="1:21" s="1" customFormat="1" ht="24" customHeight="1">
      <c r="A80" s="24" t="s">
        <v>95</v>
      </c>
      <c r="B80" s="25"/>
      <c r="C80" s="25"/>
      <c r="D80" s="25"/>
      <c r="E80" s="25"/>
      <c r="F80" s="25"/>
      <c r="G80" s="26"/>
      <c r="H80" s="27" t="s">
        <v>25</v>
      </c>
      <c r="I80" s="28"/>
      <c r="J80" s="28"/>
      <c r="K80" s="28"/>
      <c r="L80" s="28"/>
      <c r="M80" s="29"/>
      <c r="N80" s="34">
        <f>303000</f>
        <v>303000</v>
      </c>
      <c r="O80" s="35"/>
      <c r="P80" s="32">
        <f>302101.65</f>
        <v>302101.65</v>
      </c>
      <c r="Q80" s="36"/>
      <c r="R80" s="35"/>
      <c r="S80" s="4" t="s">
        <v>233</v>
      </c>
      <c r="T80" s="22">
        <f>898.35</f>
        <v>898.35</v>
      </c>
      <c r="U80" s="22"/>
    </row>
    <row r="81" spans="1:21" s="1" customFormat="1" ht="13.5" customHeight="1">
      <c r="A81" s="24" t="s">
        <v>96</v>
      </c>
      <c r="B81" s="25"/>
      <c r="C81" s="25"/>
      <c r="D81" s="25"/>
      <c r="E81" s="25"/>
      <c r="F81" s="25"/>
      <c r="G81" s="26"/>
      <c r="H81" s="27" t="s">
        <v>97</v>
      </c>
      <c r="I81" s="28"/>
      <c r="J81" s="28"/>
      <c r="K81" s="28"/>
      <c r="L81" s="28"/>
      <c r="M81" s="29"/>
      <c r="N81" s="34">
        <f>31610495.54</f>
        <v>31610495.54</v>
      </c>
      <c r="O81" s="35"/>
      <c r="P81" s="32">
        <f>26529719.5</f>
        <v>26529719.5</v>
      </c>
      <c r="Q81" s="36"/>
      <c r="R81" s="35"/>
      <c r="S81" s="4" t="s">
        <v>256</v>
      </c>
      <c r="T81" s="22">
        <f>5080776.04</f>
        <v>5080776.04</v>
      </c>
      <c r="U81" s="22"/>
    </row>
    <row r="82" spans="1:21" s="1" customFormat="1" ht="69.75" customHeight="1">
      <c r="A82" s="24" t="s">
        <v>98</v>
      </c>
      <c r="B82" s="25"/>
      <c r="C82" s="25"/>
      <c r="D82" s="25"/>
      <c r="E82" s="25"/>
      <c r="F82" s="25"/>
      <c r="G82" s="26"/>
      <c r="H82" s="27" t="s">
        <v>257</v>
      </c>
      <c r="I82" s="28"/>
      <c r="J82" s="28"/>
      <c r="K82" s="28"/>
      <c r="L82" s="28"/>
      <c r="M82" s="29"/>
      <c r="N82" s="34">
        <f>4383836.94</f>
        <v>4383836.94</v>
      </c>
      <c r="O82" s="35"/>
      <c r="P82" s="32">
        <f>4271750.47</f>
        <v>4271750.47</v>
      </c>
      <c r="Q82" s="36"/>
      <c r="R82" s="35"/>
      <c r="S82" s="4" t="s">
        <v>258</v>
      </c>
      <c r="T82" s="22">
        <f>112086.47</f>
        <v>112086.47</v>
      </c>
      <c r="U82" s="22"/>
    </row>
    <row r="83" spans="1:21" s="1" customFormat="1" ht="13.5" customHeight="1">
      <c r="A83" s="24" t="s">
        <v>100</v>
      </c>
      <c r="B83" s="25"/>
      <c r="C83" s="25"/>
      <c r="D83" s="25"/>
      <c r="E83" s="25"/>
      <c r="F83" s="25"/>
      <c r="G83" s="26"/>
      <c r="H83" s="27" t="s">
        <v>25</v>
      </c>
      <c r="I83" s="28"/>
      <c r="J83" s="28"/>
      <c r="K83" s="28"/>
      <c r="L83" s="28"/>
      <c r="M83" s="29"/>
      <c r="N83" s="34">
        <f>4383836.94</f>
        <v>4383836.94</v>
      </c>
      <c r="O83" s="35"/>
      <c r="P83" s="32">
        <f>4271750.47</f>
        <v>4271750.47</v>
      </c>
      <c r="Q83" s="36"/>
      <c r="R83" s="35"/>
      <c r="S83" s="4" t="s">
        <v>258</v>
      </c>
      <c r="T83" s="22">
        <f>112086.47</f>
        <v>112086.47</v>
      </c>
      <c r="U83" s="22"/>
    </row>
    <row r="84" spans="1:21" s="1" customFormat="1" ht="52.5" customHeight="1">
      <c r="A84" s="24" t="s">
        <v>259</v>
      </c>
      <c r="B84" s="25"/>
      <c r="C84" s="25"/>
      <c r="D84" s="25"/>
      <c r="E84" s="25"/>
      <c r="F84" s="25"/>
      <c r="G84" s="26"/>
      <c r="H84" s="27" t="s">
        <v>260</v>
      </c>
      <c r="I84" s="28"/>
      <c r="J84" s="28"/>
      <c r="K84" s="28"/>
      <c r="L84" s="28"/>
      <c r="M84" s="29"/>
      <c r="N84" s="34">
        <f>109150</f>
        <v>109150</v>
      </c>
      <c r="O84" s="35"/>
      <c r="P84" s="32">
        <f>109150</f>
        <v>109150</v>
      </c>
      <c r="Q84" s="36"/>
      <c r="R84" s="35"/>
      <c r="S84" s="4" t="s">
        <v>19</v>
      </c>
      <c r="T84" s="23" t="s">
        <v>0</v>
      </c>
      <c r="U84" s="23"/>
    </row>
    <row r="85" spans="1:21" s="1" customFormat="1" ht="13.5" customHeight="1">
      <c r="A85" s="24" t="s">
        <v>261</v>
      </c>
      <c r="B85" s="25"/>
      <c r="C85" s="25"/>
      <c r="D85" s="25"/>
      <c r="E85" s="25"/>
      <c r="F85" s="25"/>
      <c r="G85" s="26"/>
      <c r="H85" s="27" t="s">
        <v>25</v>
      </c>
      <c r="I85" s="28"/>
      <c r="J85" s="28"/>
      <c r="K85" s="28"/>
      <c r="L85" s="28"/>
      <c r="M85" s="29"/>
      <c r="N85" s="34">
        <f>109150</f>
        <v>109150</v>
      </c>
      <c r="O85" s="35"/>
      <c r="P85" s="32">
        <f>109150</f>
        <v>109150</v>
      </c>
      <c r="Q85" s="36"/>
      <c r="R85" s="35"/>
      <c r="S85" s="4" t="s">
        <v>19</v>
      </c>
      <c r="T85" s="23" t="s">
        <v>0</v>
      </c>
      <c r="U85" s="23"/>
    </row>
    <row r="86" spans="1:21" s="1" customFormat="1" ht="64.5" customHeight="1">
      <c r="A86" s="24" t="s">
        <v>101</v>
      </c>
      <c r="B86" s="25"/>
      <c r="C86" s="25"/>
      <c r="D86" s="25"/>
      <c r="E86" s="25"/>
      <c r="F86" s="25"/>
      <c r="G86" s="26"/>
      <c r="H86" s="27" t="s">
        <v>262</v>
      </c>
      <c r="I86" s="28"/>
      <c r="J86" s="28"/>
      <c r="K86" s="28"/>
      <c r="L86" s="28"/>
      <c r="M86" s="29"/>
      <c r="N86" s="34">
        <f>722813.19</f>
        <v>722813.19</v>
      </c>
      <c r="O86" s="35"/>
      <c r="P86" s="32">
        <f>568220</f>
        <v>568220</v>
      </c>
      <c r="Q86" s="36"/>
      <c r="R86" s="35"/>
      <c r="S86" s="4" t="s">
        <v>263</v>
      </c>
      <c r="T86" s="22">
        <f>154593.19</f>
        <v>154593.19</v>
      </c>
      <c r="U86" s="22"/>
    </row>
    <row r="87" spans="1:21" s="1" customFormat="1" ht="26.25" customHeight="1">
      <c r="A87" s="24" t="s">
        <v>102</v>
      </c>
      <c r="B87" s="25"/>
      <c r="C87" s="25"/>
      <c r="D87" s="25"/>
      <c r="E87" s="25"/>
      <c r="F87" s="25"/>
      <c r="G87" s="26"/>
      <c r="H87" s="27" t="s">
        <v>25</v>
      </c>
      <c r="I87" s="28"/>
      <c r="J87" s="28"/>
      <c r="K87" s="28"/>
      <c r="L87" s="28"/>
      <c r="M87" s="29"/>
      <c r="N87" s="34">
        <f>722813.19</f>
        <v>722813.19</v>
      </c>
      <c r="O87" s="35"/>
      <c r="P87" s="32">
        <f>568220</f>
        <v>568220</v>
      </c>
      <c r="Q87" s="36"/>
      <c r="R87" s="35"/>
      <c r="S87" s="4" t="s">
        <v>263</v>
      </c>
      <c r="T87" s="22">
        <f>154593.19</f>
        <v>154593.19</v>
      </c>
      <c r="U87" s="22"/>
    </row>
    <row r="88" spans="1:21" s="1" customFormat="1" ht="63.75" customHeight="1">
      <c r="A88" s="24" t="s">
        <v>103</v>
      </c>
      <c r="B88" s="25"/>
      <c r="C88" s="25"/>
      <c r="D88" s="25"/>
      <c r="E88" s="25"/>
      <c r="F88" s="25"/>
      <c r="G88" s="26"/>
      <c r="H88" s="27" t="s">
        <v>264</v>
      </c>
      <c r="I88" s="28"/>
      <c r="J88" s="28"/>
      <c r="K88" s="28"/>
      <c r="L88" s="28"/>
      <c r="M88" s="29"/>
      <c r="N88" s="34">
        <f>6911195.41</f>
        <v>6911195.41</v>
      </c>
      <c r="O88" s="35"/>
      <c r="P88" s="32">
        <f>6878599.03</f>
        <v>6878599.03</v>
      </c>
      <c r="Q88" s="36"/>
      <c r="R88" s="35"/>
      <c r="S88" s="4" t="s">
        <v>265</v>
      </c>
      <c r="T88" s="22">
        <f>32596.38</f>
        <v>32596.38</v>
      </c>
      <c r="U88" s="22"/>
    </row>
    <row r="89" spans="1:21" s="1" customFormat="1" ht="22.5" customHeight="1">
      <c r="A89" s="24" t="s">
        <v>104</v>
      </c>
      <c r="B89" s="25"/>
      <c r="C89" s="25"/>
      <c r="D89" s="25"/>
      <c r="E89" s="25"/>
      <c r="F89" s="25"/>
      <c r="G89" s="26"/>
      <c r="H89" s="27" t="s">
        <v>25</v>
      </c>
      <c r="I89" s="28"/>
      <c r="J89" s="28"/>
      <c r="K89" s="28"/>
      <c r="L89" s="28"/>
      <c r="M89" s="29"/>
      <c r="N89" s="34">
        <f>2791499.19</f>
        <v>2791499.19</v>
      </c>
      <c r="O89" s="35"/>
      <c r="P89" s="32">
        <f>2758902.81</f>
        <v>2758902.81</v>
      </c>
      <c r="Q89" s="36"/>
      <c r="R89" s="35"/>
      <c r="S89" s="4" t="s">
        <v>266</v>
      </c>
      <c r="T89" s="22">
        <f>32596.38</f>
        <v>32596.38</v>
      </c>
      <c r="U89" s="22"/>
    </row>
    <row r="90" spans="1:21" s="1" customFormat="1" ht="39" customHeight="1">
      <c r="A90" s="24" t="s">
        <v>267</v>
      </c>
      <c r="B90" s="25"/>
      <c r="C90" s="25"/>
      <c r="D90" s="25"/>
      <c r="E90" s="25"/>
      <c r="F90" s="25"/>
      <c r="G90" s="26"/>
      <c r="H90" s="27" t="s">
        <v>117</v>
      </c>
      <c r="I90" s="28"/>
      <c r="J90" s="28"/>
      <c r="K90" s="28"/>
      <c r="L90" s="28"/>
      <c r="M90" s="29"/>
      <c r="N90" s="34">
        <f>132730.52</f>
        <v>132730.52</v>
      </c>
      <c r="O90" s="35"/>
      <c r="P90" s="32">
        <f>132730.52</f>
        <v>132730.52</v>
      </c>
      <c r="Q90" s="36"/>
      <c r="R90" s="35"/>
      <c r="S90" s="4" t="s">
        <v>19</v>
      </c>
      <c r="T90" s="23" t="s">
        <v>0</v>
      </c>
      <c r="U90" s="23"/>
    </row>
    <row r="91" spans="1:21" s="1" customFormat="1" ht="37.5" customHeight="1">
      <c r="A91" s="24" t="s">
        <v>105</v>
      </c>
      <c r="B91" s="25"/>
      <c r="C91" s="25"/>
      <c r="D91" s="25"/>
      <c r="E91" s="25"/>
      <c r="F91" s="25"/>
      <c r="G91" s="26"/>
      <c r="H91" s="27" t="s">
        <v>106</v>
      </c>
      <c r="I91" s="28"/>
      <c r="J91" s="28"/>
      <c r="K91" s="28"/>
      <c r="L91" s="28"/>
      <c r="M91" s="29"/>
      <c r="N91" s="34">
        <f>3672609.87</f>
        <v>3672609.87</v>
      </c>
      <c r="O91" s="35"/>
      <c r="P91" s="32">
        <f>3672609.87</f>
        <v>3672609.87</v>
      </c>
      <c r="Q91" s="36"/>
      <c r="R91" s="35"/>
      <c r="S91" s="4" t="s">
        <v>19</v>
      </c>
      <c r="T91" s="23" t="s">
        <v>0</v>
      </c>
      <c r="U91" s="23"/>
    </row>
    <row r="92" spans="1:21" s="1" customFormat="1" ht="13.5" customHeight="1">
      <c r="A92" s="24" t="s">
        <v>268</v>
      </c>
      <c r="B92" s="25"/>
      <c r="C92" s="25"/>
      <c r="D92" s="25"/>
      <c r="E92" s="25"/>
      <c r="F92" s="25"/>
      <c r="G92" s="26"/>
      <c r="H92" s="27" t="s">
        <v>36</v>
      </c>
      <c r="I92" s="28"/>
      <c r="J92" s="28"/>
      <c r="K92" s="28"/>
      <c r="L92" s="28"/>
      <c r="M92" s="29"/>
      <c r="N92" s="34">
        <f>300</f>
        <v>300</v>
      </c>
      <c r="O92" s="35"/>
      <c r="P92" s="32">
        <f>300</f>
        <v>300</v>
      </c>
      <c r="Q92" s="36"/>
      <c r="R92" s="35"/>
      <c r="S92" s="4" t="s">
        <v>19</v>
      </c>
      <c r="T92" s="23" t="s">
        <v>0</v>
      </c>
      <c r="U92" s="23"/>
    </row>
    <row r="93" spans="1:21" s="1" customFormat="1" ht="33.75" customHeight="1">
      <c r="A93" s="24" t="s">
        <v>107</v>
      </c>
      <c r="B93" s="25"/>
      <c r="C93" s="25"/>
      <c r="D93" s="25"/>
      <c r="E93" s="25"/>
      <c r="F93" s="25"/>
      <c r="G93" s="26"/>
      <c r="H93" s="27" t="s">
        <v>50</v>
      </c>
      <c r="I93" s="28"/>
      <c r="J93" s="28"/>
      <c r="K93" s="28"/>
      <c r="L93" s="28"/>
      <c r="M93" s="29"/>
      <c r="N93" s="34">
        <f>314055.83</f>
        <v>314055.83</v>
      </c>
      <c r="O93" s="35"/>
      <c r="P93" s="32">
        <f>314055.83</f>
        <v>314055.83</v>
      </c>
      <c r="Q93" s="36"/>
      <c r="R93" s="35"/>
      <c r="S93" s="4" t="s">
        <v>19</v>
      </c>
      <c r="T93" s="23" t="s">
        <v>0</v>
      </c>
      <c r="U93" s="23"/>
    </row>
    <row r="94" spans="1:21" s="1" customFormat="1" ht="120" customHeight="1">
      <c r="A94" s="24" t="s">
        <v>108</v>
      </c>
      <c r="B94" s="25"/>
      <c r="C94" s="25"/>
      <c r="D94" s="25"/>
      <c r="E94" s="25"/>
      <c r="F94" s="25"/>
      <c r="G94" s="26"/>
      <c r="H94" s="27" t="s">
        <v>269</v>
      </c>
      <c r="I94" s="28"/>
      <c r="J94" s="28"/>
      <c r="K94" s="28"/>
      <c r="L94" s="28"/>
      <c r="M94" s="29"/>
      <c r="N94" s="34">
        <f>18907630</f>
        <v>18907630</v>
      </c>
      <c r="O94" s="35"/>
      <c r="P94" s="32">
        <f>14221760</f>
        <v>14221760</v>
      </c>
      <c r="Q94" s="36"/>
      <c r="R94" s="35"/>
      <c r="S94" s="4" t="s">
        <v>270</v>
      </c>
      <c r="T94" s="22">
        <f>4685870</f>
        <v>4685870</v>
      </c>
      <c r="U94" s="22"/>
    </row>
    <row r="95" spans="1:21" s="1" customFormat="1" ht="21.75" customHeight="1">
      <c r="A95" s="24" t="s">
        <v>109</v>
      </c>
      <c r="B95" s="25"/>
      <c r="C95" s="25"/>
      <c r="D95" s="25"/>
      <c r="E95" s="25"/>
      <c r="F95" s="25"/>
      <c r="G95" s="26"/>
      <c r="H95" s="27" t="s">
        <v>50</v>
      </c>
      <c r="I95" s="28"/>
      <c r="J95" s="28"/>
      <c r="K95" s="28"/>
      <c r="L95" s="28"/>
      <c r="M95" s="29"/>
      <c r="N95" s="34">
        <f>18907630</f>
        <v>18907630</v>
      </c>
      <c r="O95" s="35"/>
      <c r="P95" s="32">
        <f>14221760</f>
        <v>14221760</v>
      </c>
      <c r="Q95" s="36"/>
      <c r="R95" s="35"/>
      <c r="S95" s="4" t="s">
        <v>270</v>
      </c>
      <c r="T95" s="22">
        <f>4685870</f>
        <v>4685870</v>
      </c>
      <c r="U95" s="22"/>
    </row>
    <row r="96" spans="1:21" s="1" customFormat="1" ht="13.5" customHeight="1">
      <c r="A96" s="24" t="s">
        <v>110</v>
      </c>
      <c r="B96" s="25"/>
      <c r="C96" s="25"/>
      <c r="D96" s="25"/>
      <c r="E96" s="25"/>
      <c r="F96" s="25"/>
      <c r="G96" s="26"/>
      <c r="H96" s="27" t="s">
        <v>271</v>
      </c>
      <c r="I96" s="28"/>
      <c r="J96" s="28"/>
      <c r="K96" s="28"/>
      <c r="L96" s="28"/>
      <c r="M96" s="29"/>
      <c r="N96" s="34">
        <f>385870</f>
        <v>385870</v>
      </c>
      <c r="O96" s="35"/>
      <c r="P96" s="32">
        <f>290240</f>
        <v>290240</v>
      </c>
      <c r="Q96" s="36"/>
      <c r="R96" s="35"/>
      <c r="S96" s="4" t="s">
        <v>270</v>
      </c>
      <c r="T96" s="22">
        <f>95630</f>
        <v>95630</v>
      </c>
      <c r="U96" s="22"/>
    </row>
    <row r="97" spans="1:21" s="1" customFormat="1" ht="20.25" customHeight="1">
      <c r="A97" s="24" t="s">
        <v>111</v>
      </c>
      <c r="B97" s="25"/>
      <c r="C97" s="25"/>
      <c r="D97" s="25"/>
      <c r="E97" s="25"/>
      <c r="F97" s="25"/>
      <c r="G97" s="26"/>
      <c r="H97" s="27" t="s">
        <v>50</v>
      </c>
      <c r="I97" s="28"/>
      <c r="J97" s="28"/>
      <c r="K97" s="28"/>
      <c r="L97" s="28"/>
      <c r="M97" s="29"/>
      <c r="N97" s="34">
        <f>385870</f>
        <v>385870</v>
      </c>
      <c r="O97" s="35"/>
      <c r="P97" s="32">
        <f>290240</f>
        <v>290240</v>
      </c>
      <c r="Q97" s="36"/>
      <c r="R97" s="35"/>
      <c r="S97" s="4" t="s">
        <v>270</v>
      </c>
      <c r="T97" s="22">
        <f>95630</f>
        <v>95630</v>
      </c>
      <c r="U97" s="22"/>
    </row>
    <row r="98" spans="1:21" s="1" customFormat="1" ht="13.5" customHeight="1">
      <c r="A98" s="24" t="s">
        <v>112</v>
      </c>
      <c r="B98" s="25"/>
      <c r="C98" s="25"/>
      <c r="D98" s="25"/>
      <c r="E98" s="25"/>
      <c r="F98" s="25"/>
      <c r="G98" s="26"/>
      <c r="H98" s="27" t="s">
        <v>113</v>
      </c>
      <c r="I98" s="28"/>
      <c r="J98" s="28"/>
      <c r="K98" s="28"/>
      <c r="L98" s="28"/>
      <c r="M98" s="29"/>
      <c r="N98" s="34">
        <f>190000</f>
        <v>190000</v>
      </c>
      <c r="O98" s="35"/>
      <c r="P98" s="32">
        <f>190000</f>
        <v>190000</v>
      </c>
      <c r="Q98" s="36"/>
      <c r="R98" s="35"/>
      <c r="S98" s="4" t="s">
        <v>19</v>
      </c>
      <c r="T98" s="23" t="s">
        <v>0</v>
      </c>
      <c r="U98" s="23"/>
    </row>
    <row r="99" spans="1:21" s="1" customFormat="1" ht="24" customHeight="1">
      <c r="A99" s="24" t="s">
        <v>114</v>
      </c>
      <c r="B99" s="25"/>
      <c r="C99" s="25"/>
      <c r="D99" s="25"/>
      <c r="E99" s="25"/>
      <c r="F99" s="25"/>
      <c r="G99" s="26"/>
      <c r="H99" s="27" t="s">
        <v>25</v>
      </c>
      <c r="I99" s="28"/>
      <c r="J99" s="28"/>
      <c r="K99" s="28"/>
      <c r="L99" s="28"/>
      <c r="M99" s="29"/>
      <c r="N99" s="34">
        <f>190000</f>
        <v>190000</v>
      </c>
      <c r="O99" s="35"/>
      <c r="P99" s="32">
        <f>190000</f>
        <v>190000</v>
      </c>
      <c r="Q99" s="36"/>
      <c r="R99" s="35"/>
      <c r="S99" s="4" t="s">
        <v>19</v>
      </c>
      <c r="T99" s="23" t="s">
        <v>0</v>
      </c>
      <c r="U99" s="23"/>
    </row>
    <row r="100" spans="1:21" s="1" customFormat="1" ht="13.5" customHeight="1">
      <c r="A100" s="24" t="s">
        <v>115</v>
      </c>
      <c r="B100" s="25"/>
      <c r="C100" s="25"/>
      <c r="D100" s="25"/>
      <c r="E100" s="25"/>
      <c r="F100" s="25"/>
      <c r="G100" s="26"/>
      <c r="H100" s="27" t="s">
        <v>116</v>
      </c>
      <c r="I100" s="28"/>
      <c r="J100" s="28"/>
      <c r="K100" s="28"/>
      <c r="L100" s="28"/>
      <c r="M100" s="29"/>
      <c r="N100" s="34">
        <f>6701357.93</f>
        <v>6701357.93</v>
      </c>
      <c r="O100" s="35"/>
      <c r="P100" s="32">
        <f>6334762.52</f>
        <v>6334762.52</v>
      </c>
      <c r="Q100" s="36"/>
      <c r="R100" s="35"/>
      <c r="S100" s="4" t="s">
        <v>272</v>
      </c>
      <c r="T100" s="22">
        <f>366595.41</f>
        <v>366595.41</v>
      </c>
      <c r="U100" s="22"/>
    </row>
    <row r="101" spans="1:21" s="1" customFormat="1" ht="75.75" customHeight="1">
      <c r="A101" s="24" t="s">
        <v>119</v>
      </c>
      <c r="B101" s="25"/>
      <c r="C101" s="25"/>
      <c r="D101" s="25"/>
      <c r="E101" s="25"/>
      <c r="F101" s="25"/>
      <c r="G101" s="26"/>
      <c r="H101" s="27" t="s">
        <v>273</v>
      </c>
      <c r="I101" s="28"/>
      <c r="J101" s="28"/>
      <c r="K101" s="28"/>
      <c r="L101" s="28"/>
      <c r="M101" s="29"/>
      <c r="N101" s="34">
        <f>4161496.08</f>
        <v>4161496.08</v>
      </c>
      <c r="O101" s="35"/>
      <c r="P101" s="32">
        <f>3797747.21</f>
        <v>3797747.21</v>
      </c>
      <c r="Q101" s="36"/>
      <c r="R101" s="35"/>
      <c r="S101" s="4" t="s">
        <v>274</v>
      </c>
      <c r="T101" s="22">
        <f>363748.87</f>
        <v>363748.87</v>
      </c>
      <c r="U101" s="22"/>
    </row>
    <row r="102" spans="1:21" s="1" customFormat="1" ht="25.5" customHeight="1">
      <c r="A102" s="24" t="s">
        <v>275</v>
      </c>
      <c r="B102" s="25"/>
      <c r="C102" s="25"/>
      <c r="D102" s="25"/>
      <c r="E102" s="25"/>
      <c r="F102" s="25"/>
      <c r="G102" s="26"/>
      <c r="H102" s="27" t="s">
        <v>276</v>
      </c>
      <c r="I102" s="28"/>
      <c r="J102" s="28"/>
      <c r="K102" s="28"/>
      <c r="L102" s="28"/>
      <c r="M102" s="29"/>
      <c r="N102" s="34">
        <f>100000</f>
        <v>100000</v>
      </c>
      <c r="O102" s="35"/>
      <c r="P102" s="32">
        <f>100000</f>
        <v>100000</v>
      </c>
      <c r="Q102" s="36"/>
      <c r="R102" s="35"/>
      <c r="S102" s="4" t="s">
        <v>19</v>
      </c>
      <c r="T102" s="23" t="s">
        <v>0</v>
      </c>
      <c r="U102" s="23"/>
    </row>
    <row r="103" spans="1:21" s="1" customFormat="1" ht="13.5" customHeight="1">
      <c r="A103" s="24" t="s">
        <v>120</v>
      </c>
      <c r="B103" s="25"/>
      <c r="C103" s="25"/>
      <c r="D103" s="25"/>
      <c r="E103" s="25"/>
      <c r="F103" s="25"/>
      <c r="G103" s="26"/>
      <c r="H103" s="27" t="s">
        <v>25</v>
      </c>
      <c r="I103" s="28"/>
      <c r="J103" s="28"/>
      <c r="K103" s="28"/>
      <c r="L103" s="28"/>
      <c r="M103" s="29"/>
      <c r="N103" s="34">
        <f>1687270.17</f>
        <v>1687270.17</v>
      </c>
      <c r="O103" s="35"/>
      <c r="P103" s="32">
        <f>1681767.78</f>
        <v>1681767.78</v>
      </c>
      <c r="Q103" s="36"/>
      <c r="R103" s="35"/>
      <c r="S103" s="4" t="s">
        <v>277</v>
      </c>
      <c r="T103" s="22">
        <f>5502.39</f>
        <v>5502.39</v>
      </c>
      <c r="U103" s="22"/>
    </row>
    <row r="104" spans="1:21" s="1" customFormat="1" ht="33.75" customHeight="1">
      <c r="A104" s="24" t="s">
        <v>121</v>
      </c>
      <c r="B104" s="25"/>
      <c r="C104" s="25"/>
      <c r="D104" s="25"/>
      <c r="E104" s="25"/>
      <c r="F104" s="25"/>
      <c r="G104" s="26"/>
      <c r="H104" s="27" t="s">
        <v>34</v>
      </c>
      <c r="I104" s="28"/>
      <c r="J104" s="28"/>
      <c r="K104" s="28"/>
      <c r="L104" s="28"/>
      <c r="M104" s="29"/>
      <c r="N104" s="34">
        <f>1237346.38</f>
        <v>1237346.38</v>
      </c>
      <c r="O104" s="35"/>
      <c r="P104" s="32">
        <f>921538.59</f>
        <v>921538.59</v>
      </c>
      <c r="Q104" s="36"/>
      <c r="R104" s="35"/>
      <c r="S104" s="4" t="s">
        <v>278</v>
      </c>
      <c r="T104" s="22">
        <f>315807.79</f>
        <v>315807.79</v>
      </c>
      <c r="U104" s="22"/>
    </row>
    <row r="105" spans="1:21" s="1" customFormat="1" ht="24" customHeight="1">
      <c r="A105" s="24" t="s">
        <v>279</v>
      </c>
      <c r="B105" s="25"/>
      <c r="C105" s="25"/>
      <c r="D105" s="25"/>
      <c r="E105" s="25"/>
      <c r="F105" s="25"/>
      <c r="G105" s="26"/>
      <c r="H105" s="27" t="s">
        <v>171</v>
      </c>
      <c r="I105" s="28"/>
      <c r="J105" s="28"/>
      <c r="K105" s="28"/>
      <c r="L105" s="28"/>
      <c r="M105" s="29"/>
      <c r="N105" s="34">
        <f>5900</f>
        <v>5900</v>
      </c>
      <c r="O105" s="35"/>
      <c r="P105" s="32">
        <f>5900</f>
        <v>5900</v>
      </c>
      <c r="Q105" s="36"/>
      <c r="R105" s="35"/>
      <c r="S105" s="4" t="s">
        <v>19</v>
      </c>
      <c r="T105" s="23" t="s">
        <v>0</v>
      </c>
      <c r="U105" s="23"/>
    </row>
    <row r="106" spans="1:21" s="1" customFormat="1" ht="49.5" customHeight="1">
      <c r="A106" s="24" t="s">
        <v>122</v>
      </c>
      <c r="B106" s="25"/>
      <c r="C106" s="25"/>
      <c r="D106" s="25"/>
      <c r="E106" s="25"/>
      <c r="F106" s="25"/>
      <c r="G106" s="26"/>
      <c r="H106" s="27" t="s">
        <v>78</v>
      </c>
      <c r="I106" s="28"/>
      <c r="J106" s="28"/>
      <c r="K106" s="28"/>
      <c r="L106" s="28"/>
      <c r="M106" s="29"/>
      <c r="N106" s="34">
        <f>1130979.53</f>
        <v>1130979.53</v>
      </c>
      <c r="O106" s="35"/>
      <c r="P106" s="32">
        <f>1088540.84</f>
        <v>1088540.84</v>
      </c>
      <c r="Q106" s="36"/>
      <c r="R106" s="35"/>
      <c r="S106" s="4" t="s">
        <v>280</v>
      </c>
      <c r="T106" s="22">
        <f>42438.69</f>
        <v>42438.69</v>
      </c>
      <c r="U106" s="22"/>
    </row>
    <row r="107" spans="1:21" s="1" customFormat="1" ht="73.5" customHeight="1">
      <c r="A107" s="24" t="s">
        <v>281</v>
      </c>
      <c r="B107" s="25"/>
      <c r="C107" s="25"/>
      <c r="D107" s="25"/>
      <c r="E107" s="25"/>
      <c r="F107" s="25"/>
      <c r="G107" s="26"/>
      <c r="H107" s="27" t="s">
        <v>282</v>
      </c>
      <c r="I107" s="28"/>
      <c r="J107" s="28"/>
      <c r="K107" s="28"/>
      <c r="L107" s="28"/>
      <c r="M107" s="29"/>
      <c r="N107" s="34">
        <f>2539861.85</f>
        <v>2539861.85</v>
      </c>
      <c r="O107" s="35"/>
      <c r="P107" s="32">
        <f>2537015.31</f>
        <v>2537015.31</v>
      </c>
      <c r="Q107" s="36"/>
      <c r="R107" s="35"/>
      <c r="S107" s="4" t="s">
        <v>283</v>
      </c>
      <c r="T107" s="22">
        <f>2846.54</f>
        <v>2846.54</v>
      </c>
      <c r="U107" s="22"/>
    </row>
    <row r="108" spans="1:21" s="1" customFormat="1" ht="22.5" customHeight="1">
      <c r="A108" s="24" t="s">
        <v>284</v>
      </c>
      <c r="B108" s="25"/>
      <c r="C108" s="25"/>
      <c r="D108" s="25"/>
      <c r="E108" s="25"/>
      <c r="F108" s="25"/>
      <c r="G108" s="26"/>
      <c r="H108" s="27" t="s">
        <v>25</v>
      </c>
      <c r="I108" s="28"/>
      <c r="J108" s="28"/>
      <c r="K108" s="28"/>
      <c r="L108" s="28"/>
      <c r="M108" s="29"/>
      <c r="N108" s="34">
        <f>84500</f>
        <v>84500</v>
      </c>
      <c r="O108" s="35"/>
      <c r="P108" s="32">
        <f>84271</f>
        <v>84271</v>
      </c>
      <c r="Q108" s="36"/>
      <c r="R108" s="35"/>
      <c r="S108" s="4" t="s">
        <v>216</v>
      </c>
      <c r="T108" s="22">
        <f>229</f>
        <v>229</v>
      </c>
      <c r="U108" s="22"/>
    </row>
    <row r="109" spans="1:21" s="1" customFormat="1" ht="42" customHeight="1">
      <c r="A109" s="24" t="s">
        <v>285</v>
      </c>
      <c r="B109" s="25"/>
      <c r="C109" s="25"/>
      <c r="D109" s="25"/>
      <c r="E109" s="25"/>
      <c r="F109" s="25"/>
      <c r="G109" s="26"/>
      <c r="H109" s="27" t="s">
        <v>117</v>
      </c>
      <c r="I109" s="28"/>
      <c r="J109" s="28"/>
      <c r="K109" s="28"/>
      <c r="L109" s="28"/>
      <c r="M109" s="29"/>
      <c r="N109" s="34">
        <f>2455361.85</f>
        <v>2455361.85</v>
      </c>
      <c r="O109" s="35"/>
      <c r="P109" s="32">
        <f>2452744.31</f>
        <v>2452744.31</v>
      </c>
      <c r="Q109" s="36"/>
      <c r="R109" s="35"/>
      <c r="S109" s="4" t="s">
        <v>283</v>
      </c>
      <c r="T109" s="22">
        <f>2617.54</f>
        <v>2617.54</v>
      </c>
      <c r="U109" s="22"/>
    </row>
    <row r="110" spans="1:21" s="1" customFormat="1" ht="24.75" customHeight="1">
      <c r="A110" s="24" t="s">
        <v>123</v>
      </c>
      <c r="B110" s="25"/>
      <c r="C110" s="25"/>
      <c r="D110" s="25"/>
      <c r="E110" s="25"/>
      <c r="F110" s="25"/>
      <c r="G110" s="26"/>
      <c r="H110" s="27" t="s">
        <v>124</v>
      </c>
      <c r="I110" s="28"/>
      <c r="J110" s="28"/>
      <c r="K110" s="28"/>
      <c r="L110" s="28"/>
      <c r="M110" s="29"/>
      <c r="N110" s="34">
        <f>44308635.97</f>
        <v>44308635.97</v>
      </c>
      <c r="O110" s="35"/>
      <c r="P110" s="32">
        <f>43896677.51</f>
        <v>43896677.51</v>
      </c>
      <c r="Q110" s="36"/>
      <c r="R110" s="35"/>
      <c r="S110" s="4" t="s">
        <v>286</v>
      </c>
      <c r="T110" s="22">
        <f>411958.46</f>
        <v>411958.46</v>
      </c>
      <c r="U110" s="22"/>
    </row>
    <row r="111" spans="1:21" s="1" customFormat="1" ht="70.5" customHeight="1">
      <c r="A111" s="24" t="s">
        <v>125</v>
      </c>
      <c r="B111" s="25"/>
      <c r="C111" s="25"/>
      <c r="D111" s="25"/>
      <c r="E111" s="25"/>
      <c r="F111" s="25"/>
      <c r="G111" s="26"/>
      <c r="H111" s="27" t="s">
        <v>287</v>
      </c>
      <c r="I111" s="28"/>
      <c r="J111" s="28"/>
      <c r="K111" s="28"/>
      <c r="L111" s="28"/>
      <c r="M111" s="29"/>
      <c r="N111" s="34">
        <f>1373366.47</f>
        <v>1373366.47</v>
      </c>
      <c r="O111" s="35"/>
      <c r="P111" s="32">
        <f>1099721.3</f>
        <v>1099721.3</v>
      </c>
      <c r="Q111" s="36"/>
      <c r="R111" s="35"/>
      <c r="S111" s="4" t="s">
        <v>288</v>
      </c>
      <c r="T111" s="22">
        <f>273645.17</f>
        <v>273645.17</v>
      </c>
      <c r="U111" s="22"/>
    </row>
    <row r="112" spans="1:21" s="1" customFormat="1" ht="25.5" customHeight="1">
      <c r="A112" s="24" t="s">
        <v>126</v>
      </c>
      <c r="B112" s="25"/>
      <c r="C112" s="25"/>
      <c r="D112" s="25"/>
      <c r="E112" s="25"/>
      <c r="F112" s="25"/>
      <c r="G112" s="26"/>
      <c r="H112" s="27" t="s">
        <v>25</v>
      </c>
      <c r="I112" s="28"/>
      <c r="J112" s="28"/>
      <c r="K112" s="28"/>
      <c r="L112" s="28"/>
      <c r="M112" s="29"/>
      <c r="N112" s="34">
        <f>1373366.47</f>
        <v>1373366.47</v>
      </c>
      <c r="O112" s="35"/>
      <c r="P112" s="32">
        <f>1099721.3</f>
        <v>1099721.3</v>
      </c>
      <c r="Q112" s="36"/>
      <c r="R112" s="35"/>
      <c r="S112" s="4" t="s">
        <v>288</v>
      </c>
      <c r="T112" s="22">
        <f>273645.17</f>
        <v>273645.17</v>
      </c>
      <c r="U112" s="22"/>
    </row>
    <row r="113" spans="1:21" s="1" customFormat="1" ht="95.25" customHeight="1">
      <c r="A113" s="24" t="s">
        <v>289</v>
      </c>
      <c r="B113" s="25"/>
      <c r="C113" s="25"/>
      <c r="D113" s="25"/>
      <c r="E113" s="25"/>
      <c r="F113" s="25"/>
      <c r="G113" s="26"/>
      <c r="H113" s="27" t="s">
        <v>290</v>
      </c>
      <c r="I113" s="28"/>
      <c r="J113" s="28"/>
      <c r="K113" s="28"/>
      <c r="L113" s="28"/>
      <c r="M113" s="29"/>
      <c r="N113" s="34">
        <f>727995</f>
        <v>727995</v>
      </c>
      <c r="O113" s="35"/>
      <c r="P113" s="32">
        <f>727995</f>
        <v>727995</v>
      </c>
      <c r="Q113" s="36"/>
      <c r="R113" s="35"/>
      <c r="S113" s="4" t="s">
        <v>19</v>
      </c>
      <c r="T113" s="23" t="s">
        <v>0</v>
      </c>
      <c r="U113" s="23"/>
    </row>
    <row r="114" spans="1:21" s="1" customFormat="1" ht="13.5" customHeight="1">
      <c r="A114" s="24" t="s">
        <v>291</v>
      </c>
      <c r="B114" s="25"/>
      <c r="C114" s="25"/>
      <c r="D114" s="25"/>
      <c r="E114" s="25"/>
      <c r="F114" s="25"/>
      <c r="G114" s="26"/>
      <c r="H114" s="27" t="s">
        <v>25</v>
      </c>
      <c r="I114" s="28"/>
      <c r="J114" s="28"/>
      <c r="K114" s="28"/>
      <c r="L114" s="28"/>
      <c r="M114" s="29"/>
      <c r="N114" s="34">
        <f>727995</f>
        <v>727995</v>
      </c>
      <c r="O114" s="35"/>
      <c r="P114" s="32">
        <f>727995</f>
        <v>727995</v>
      </c>
      <c r="Q114" s="36"/>
      <c r="R114" s="35"/>
      <c r="S114" s="4" t="s">
        <v>19</v>
      </c>
      <c r="T114" s="23" t="s">
        <v>0</v>
      </c>
      <c r="U114" s="23"/>
    </row>
    <row r="115" spans="1:21" s="1" customFormat="1" ht="69" customHeight="1">
      <c r="A115" s="24" t="s">
        <v>128</v>
      </c>
      <c r="B115" s="25"/>
      <c r="C115" s="25"/>
      <c r="D115" s="25"/>
      <c r="E115" s="25"/>
      <c r="F115" s="25"/>
      <c r="G115" s="26"/>
      <c r="H115" s="27" t="s">
        <v>292</v>
      </c>
      <c r="I115" s="28"/>
      <c r="J115" s="28"/>
      <c r="K115" s="28"/>
      <c r="L115" s="28"/>
      <c r="M115" s="29"/>
      <c r="N115" s="34">
        <f>17697520.86</f>
        <v>17697520.86</v>
      </c>
      <c r="O115" s="35"/>
      <c r="P115" s="32">
        <f>17697520.86</f>
        <v>17697520.86</v>
      </c>
      <c r="Q115" s="36"/>
      <c r="R115" s="35"/>
      <c r="S115" s="4" t="s">
        <v>19</v>
      </c>
      <c r="T115" s="23" t="s">
        <v>0</v>
      </c>
      <c r="U115" s="23"/>
    </row>
    <row r="116" spans="1:21" s="1" customFormat="1" ht="13.5" customHeight="1">
      <c r="A116" s="24" t="s">
        <v>129</v>
      </c>
      <c r="B116" s="25"/>
      <c r="C116" s="25"/>
      <c r="D116" s="25"/>
      <c r="E116" s="25"/>
      <c r="F116" s="25"/>
      <c r="G116" s="26"/>
      <c r="H116" s="27" t="s">
        <v>25</v>
      </c>
      <c r="I116" s="28"/>
      <c r="J116" s="28"/>
      <c r="K116" s="28"/>
      <c r="L116" s="28"/>
      <c r="M116" s="29"/>
      <c r="N116" s="34">
        <f>17697520.86</f>
        <v>17697520.86</v>
      </c>
      <c r="O116" s="35"/>
      <c r="P116" s="32">
        <f>17697520.86</f>
        <v>17697520.86</v>
      </c>
      <c r="Q116" s="36"/>
      <c r="R116" s="35"/>
      <c r="S116" s="4" t="s">
        <v>19</v>
      </c>
      <c r="T116" s="23" t="s">
        <v>0</v>
      </c>
      <c r="U116" s="23"/>
    </row>
    <row r="117" spans="1:21" s="1" customFormat="1" ht="54" customHeight="1">
      <c r="A117" s="24" t="s">
        <v>130</v>
      </c>
      <c r="B117" s="25"/>
      <c r="C117" s="25"/>
      <c r="D117" s="25"/>
      <c r="E117" s="25"/>
      <c r="F117" s="25"/>
      <c r="G117" s="26"/>
      <c r="H117" s="27" t="s">
        <v>293</v>
      </c>
      <c r="I117" s="28"/>
      <c r="J117" s="28"/>
      <c r="K117" s="28"/>
      <c r="L117" s="28"/>
      <c r="M117" s="29"/>
      <c r="N117" s="34">
        <f>21000</f>
        <v>21000</v>
      </c>
      <c r="O117" s="35"/>
      <c r="P117" s="32">
        <f>21000</f>
        <v>21000</v>
      </c>
      <c r="Q117" s="36"/>
      <c r="R117" s="35"/>
      <c r="S117" s="4" t="s">
        <v>19</v>
      </c>
      <c r="T117" s="23" t="s">
        <v>0</v>
      </c>
      <c r="U117" s="23"/>
    </row>
    <row r="118" spans="1:21" s="1" customFormat="1" ht="13.5" customHeight="1">
      <c r="A118" s="24" t="s">
        <v>131</v>
      </c>
      <c r="B118" s="25"/>
      <c r="C118" s="25"/>
      <c r="D118" s="25"/>
      <c r="E118" s="25"/>
      <c r="F118" s="25"/>
      <c r="G118" s="26"/>
      <c r="H118" s="27" t="s">
        <v>132</v>
      </c>
      <c r="I118" s="28"/>
      <c r="J118" s="28"/>
      <c r="K118" s="28"/>
      <c r="L118" s="28"/>
      <c r="M118" s="29"/>
      <c r="N118" s="34">
        <f>21000</f>
        <v>21000</v>
      </c>
      <c r="O118" s="35"/>
      <c r="P118" s="32">
        <f>21000</f>
        <v>21000</v>
      </c>
      <c r="Q118" s="36"/>
      <c r="R118" s="35"/>
      <c r="S118" s="4" t="s">
        <v>19</v>
      </c>
      <c r="T118" s="23" t="s">
        <v>0</v>
      </c>
      <c r="U118" s="23"/>
    </row>
    <row r="119" spans="1:21" s="1" customFormat="1" ht="54.75" customHeight="1">
      <c r="A119" s="24" t="s">
        <v>133</v>
      </c>
      <c r="B119" s="25"/>
      <c r="C119" s="25"/>
      <c r="D119" s="25"/>
      <c r="E119" s="25"/>
      <c r="F119" s="25"/>
      <c r="G119" s="26"/>
      <c r="H119" s="27" t="s">
        <v>134</v>
      </c>
      <c r="I119" s="28"/>
      <c r="J119" s="28"/>
      <c r="K119" s="28"/>
      <c r="L119" s="28"/>
      <c r="M119" s="29"/>
      <c r="N119" s="34">
        <f>520000</f>
        <v>520000</v>
      </c>
      <c r="O119" s="35"/>
      <c r="P119" s="32">
        <f>520000</f>
        <v>520000</v>
      </c>
      <c r="Q119" s="36"/>
      <c r="R119" s="35"/>
      <c r="S119" s="4" t="s">
        <v>19</v>
      </c>
      <c r="T119" s="23" t="s">
        <v>0</v>
      </c>
      <c r="U119" s="23"/>
    </row>
    <row r="120" spans="1:21" s="1" customFormat="1" ht="13.5" customHeight="1">
      <c r="A120" s="24" t="s">
        <v>135</v>
      </c>
      <c r="B120" s="25"/>
      <c r="C120" s="25"/>
      <c r="D120" s="25"/>
      <c r="E120" s="25"/>
      <c r="F120" s="25"/>
      <c r="G120" s="26"/>
      <c r="H120" s="27" t="s">
        <v>25</v>
      </c>
      <c r="I120" s="28"/>
      <c r="J120" s="28"/>
      <c r="K120" s="28"/>
      <c r="L120" s="28"/>
      <c r="M120" s="29"/>
      <c r="N120" s="34">
        <f>520000</f>
        <v>520000</v>
      </c>
      <c r="O120" s="35"/>
      <c r="P120" s="32">
        <f>520000</f>
        <v>520000</v>
      </c>
      <c r="Q120" s="36"/>
      <c r="R120" s="35"/>
      <c r="S120" s="4" t="s">
        <v>19</v>
      </c>
      <c r="T120" s="23" t="s">
        <v>0</v>
      </c>
      <c r="U120" s="23"/>
    </row>
    <row r="121" spans="1:21" s="1" customFormat="1" ht="72.75" customHeight="1">
      <c r="A121" s="24" t="s">
        <v>136</v>
      </c>
      <c r="B121" s="25"/>
      <c r="C121" s="25"/>
      <c r="D121" s="25"/>
      <c r="E121" s="25"/>
      <c r="F121" s="25"/>
      <c r="G121" s="26"/>
      <c r="H121" s="27" t="s">
        <v>294</v>
      </c>
      <c r="I121" s="28"/>
      <c r="J121" s="28"/>
      <c r="K121" s="28"/>
      <c r="L121" s="28"/>
      <c r="M121" s="29"/>
      <c r="N121" s="34">
        <f>498297.7</f>
        <v>498297.7</v>
      </c>
      <c r="O121" s="35"/>
      <c r="P121" s="32">
        <f>498297.7</f>
        <v>498297.7</v>
      </c>
      <c r="Q121" s="36"/>
      <c r="R121" s="35"/>
      <c r="S121" s="4" t="s">
        <v>19</v>
      </c>
      <c r="T121" s="23" t="s">
        <v>0</v>
      </c>
      <c r="U121" s="23"/>
    </row>
    <row r="122" spans="1:21" s="1" customFormat="1" ht="29.25" customHeight="1">
      <c r="A122" s="24" t="s">
        <v>137</v>
      </c>
      <c r="B122" s="25"/>
      <c r="C122" s="25"/>
      <c r="D122" s="25"/>
      <c r="E122" s="25"/>
      <c r="F122" s="25"/>
      <c r="G122" s="26"/>
      <c r="H122" s="27" t="s">
        <v>25</v>
      </c>
      <c r="I122" s="28"/>
      <c r="J122" s="28"/>
      <c r="K122" s="28"/>
      <c r="L122" s="28"/>
      <c r="M122" s="29"/>
      <c r="N122" s="34">
        <f>498297.7</f>
        <v>498297.7</v>
      </c>
      <c r="O122" s="35"/>
      <c r="P122" s="32">
        <f>498297.7</f>
        <v>498297.7</v>
      </c>
      <c r="Q122" s="36"/>
      <c r="R122" s="35"/>
      <c r="S122" s="4" t="s">
        <v>19</v>
      </c>
      <c r="T122" s="23" t="s">
        <v>0</v>
      </c>
      <c r="U122" s="23"/>
    </row>
    <row r="123" spans="1:21" s="1" customFormat="1" ht="84.75" customHeight="1">
      <c r="A123" s="24" t="s">
        <v>138</v>
      </c>
      <c r="B123" s="25"/>
      <c r="C123" s="25"/>
      <c r="D123" s="25"/>
      <c r="E123" s="25"/>
      <c r="F123" s="25"/>
      <c r="G123" s="26"/>
      <c r="H123" s="27" t="s">
        <v>295</v>
      </c>
      <c r="I123" s="28"/>
      <c r="J123" s="28"/>
      <c r="K123" s="28"/>
      <c r="L123" s="28"/>
      <c r="M123" s="29"/>
      <c r="N123" s="34">
        <f>4210328.22</f>
        <v>4210328.22</v>
      </c>
      <c r="O123" s="35"/>
      <c r="P123" s="32">
        <f>4209765.6</f>
        <v>4209765.6</v>
      </c>
      <c r="Q123" s="36"/>
      <c r="R123" s="35"/>
      <c r="S123" s="4" t="s">
        <v>83</v>
      </c>
      <c r="T123" s="22">
        <f>562.62</f>
        <v>562.62</v>
      </c>
      <c r="U123" s="22"/>
    </row>
    <row r="124" spans="1:21" s="1" customFormat="1" ht="27.75" customHeight="1">
      <c r="A124" s="24" t="s">
        <v>139</v>
      </c>
      <c r="B124" s="25"/>
      <c r="C124" s="25"/>
      <c r="D124" s="25"/>
      <c r="E124" s="25"/>
      <c r="F124" s="25"/>
      <c r="G124" s="26"/>
      <c r="H124" s="27" t="s">
        <v>25</v>
      </c>
      <c r="I124" s="28"/>
      <c r="J124" s="28"/>
      <c r="K124" s="28"/>
      <c r="L124" s="28"/>
      <c r="M124" s="29"/>
      <c r="N124" s="34">
        <f>4151828.22</f>
        <v>4151828.22</v>
      </c>
      <c r="O124" s="35"/>
      <c r="P124" s="32">
        <f>4151265.6</f>
        <v>4151265.6</v>
      </c>
      <c r="Q124" s="36"/>
      <c r="R124" s="35"/>
      <c r="S124" s="4" t="s">
        <v>83</v>
      </c>
      <c r="T124" s="22">
        <f>562.62</f>
        <v>562.62</v>
      </c>
      <c r="U124" s="22"/>
    </row>
    <row r="125" spans="1:21" s="1" customFormat="1" ht="13.5" customHeight="1">
      <c r="A125" s="24" t="s">
        <v>296</v>
      </c>
      <c r="B125" s="25"/>
      <c r="C125" s="25"/>
      <c r="D125" s="25"/>
      <c r="E125" s="25"/>
      <c r="F125" s="25"/>
      <c r="G125" s="26"/>
      <c r="H125" s="27" t="s">
        <v>66</v>
      </c>
      <c r="I125" s="28"/>
      <c r="J125" s="28"/>
      <c r="K125" s="28"/>
      <c r="L125" s="28"/>
      <c r="M125" s="29"/>
      <c r="N125" s="34">
        <f>58500</f>
        <v>58500</v>
      </c>
      <c r="O125" s="35"/>
      <c r="P125" s="32">
        <f>58500</f>
        <v>58500</v>
      </c>
      <c r="Q125" s="36"/>
      <c r="R125" s="35"/>
      <c r="S125" s="4" t="s">
        <v>19</v>
      </c>
      <c r="T125" s="23" t="s">
        <v>0</v>
      </c>
      <c r="U125" s="23"/>
    </row>
    <row r="126" spans="1:21" s="1" customFormat="1" ht="75.75" customHeight="1">
      <c r="A126" s="24" t="s">
        <v>140</v>
      </c>
      <c r="B126" s="25"/>
      <c r="C126" s="25"/>
      <c r="D126" s="25"/>
      <c r="E126" s="25"/>
      <c r="F126" s="25"/>
      <c r="G126" s="26"/>
      <c r="H126" s="27" t="s">
        <v>297</v>
      </c>
      <c r="I126" s="28"/>
      <c r="J126" s="28"/>
      <c r="K126" s="28"/>
      <c r="L126" s="28"/>
      <c r="M126" s="29"/>
      <c r="N126" s="34">
        <f>991334.82</f>
        <v>991334.82</v>
      </c>
      <c r="O126" s="35"/>
      <c r="P126" s="32">
        <f>991334.82</f>
        <v>991334.82</v>
      </c>
      <c r="Q126" s="36"/>
      <c r="R126" s="35"/>
      <c r="S126" s="4" t="s">
        <v>19</v>
      </c>
      <c r="T126" s="23" t="s">
        <v>0</v>
      </c>
      <c r="U126" s="23"/>
    </row>
    <row r="127" spans="1:21" s="1" customFormat="1" ht="13.5" customHeight="1">
      <c r="A127" s="24" t="s">
        <v>141</v>
      </c>
      <c r="B127" s="25"/>
      <c r="C127" s="25"/>
      <c r="D127" s="25"/>
      <c r="E127" s="25"/>
      <c r="F127" s="25"/>
      <c r="G127" s="26"/>
      <c r="H127" s="27" t="s">
        <v>25</v>
      </c>
      <c r="I127" s="28"/>
      <c r="J127" s="28"/>
      <c r="K127" s="28"/>
      <c r="L127" s="28"/>
      <c r="M127" s="29"/>
      <c r="N127" s="34">
        <f>991334.82</f>
        <v>991334.82</v>
      </c>
      <c r="O127" s="35"/>
      <c r="P127" s="32">
        <f>991334.82</f>
        <v>991334.82</v>
      </c>
      <c r="Q127" s="36"/>
      <c r="R127" s="35"/>
      <c r="S127" s="4" t="s">
        <v>19</v>
      </c>
      <c r="T127" s="23" t="s">
        <v>0</v>
      </c>
      <c r="U127" s="23"/>
    </row>
    <row r="128" spans="1:21" s="1" customFormat="1" ht="75.75" customHeight="1">
      <c r="A128" s="24" t="s">
        <v>142</v>
      </c>
      <c r="B128" s="25"/>
      <c r="C128" s="25"/>
      <c r="D128" s="25"/>
      <c r="E128" s="25"/>
      <c r="F128" s="25"/>
      <c r="G128" s="26"/>
      <c r="H128" s="27" t="s">
        <v>298</v>
      </c>
      <c r="I128" s="28"/>
      <c r="J128" s="28"/>
      <c r="K128" s="28"/>
      <c r="L128" s="28"/>
      <c r="M128" s="29"/>
      <c r="N128" s="34">
        <f>8443808.94</f>
        <v>8443808.94</v>
      </c>
      <c r="O128" s="35"/>
      <c r="P128" s="32">
        <f>8354296.03</f>
        <v>8354296.03</v>
      </c>
      <c r="Q128" s="36"/>
      <c r="R128" s="35"/>
      <c r="S128" s="4" t="s">
        <v>299</v>
      </c>
      <c r="T128" s="22">
        <f>89512.91</f>
        <v>89512.91</v>
      </c>
      <c r="U128" s="22"/>
    </row>
    <row r="129" spans="1:21" s="1" customFormat="1" ht="13.5" customHeight="1">
      <c r="A129" s="24" t="s">
        <v>143</v>
      </c>
      <c r="B129" s="25"/>
      <c r="C129" s="25"/>
      <c r="D129" s="25"/>
      <c r="E129" s="25"/>
      <c r="F129" s="25"/>
      <c r="G129" s="26"/>
      <c r="H129" s="27" t="s">
        <v>25</v>
      </c>
      <c r="I129" s="28"/>
      <c r="J129" s="28"/>
      <c r="K129" s="28"/>
      <c r="L129" s="28"/>
      <c r="M129" s="29"/>
      <c r="N129" s="34">
        <f>7618808.94</f>
        <v>7618808.94</v>
      </c>
      <c r="O129" s="35"/>
      <c r="P129" s="32">
        <f>7529296.03</f>
        <v>7529296.03</v>
      </c>
      <c r="Q129" s="36"/>
      <c r="R129" s="35"/>
      <c r="S129" s="4" t="s">
        <v>266</v>
      </c>
      <c r="T129" s="22">
        <f>89512.91</f>
        <v>89512.91</v>
      </c>
      <c r="U129" s="22"/>
    </row>
    <row r="130" spans="1:21" s="1" customFormat="1" ht="24.75" customHeight="1">
      <c r="A130" s="24" t="s">
        <v>144</v>
      </c>
      <c r="B130" s="25"/>
      <c r="C130" s="25"/>
      <c r="D130" s="25"/>
      <c r="E130" s="25"/>
      <c r="F130" s="25"/>
      <c r="G130" s="26"/>
      <c r="H130" s="27" t="s">
        <v>127</v>
      </c>
      <c r="I130" s="28"/>
      <c r="J130" s="28"/>
      <c r="K130" s="28"/>
      <c r="L130" s="28"/>
      <c r="M130" s="29"/>
      <c r="N130" s="34">
        <f>825000</f>
        <v>825000</v>
      </c>
      <c r="O130" s="35"/>
      <c r="P130" s="32">
        <f>825000</f>
        <v>825000</v>
      </c>
      <c r="Q130" s="36"/>
      <c r="R130" s="35"/>
      <c r="S130" s="4" t="s">
        <v>19</v>
      </c>
      <c r="T130" s="23" t="s">
        <v>0</v>
      </c>
      <c r="U130" s="23"/>
    </row>
    <row r="131" spans="1:21" s="1" customFormat="1" ht="81" customHeight="1">
      <c r="A131" s="24" t="s">
        <v>145</v>
      </c>
      <c r="B131" s="25"/>
      <c r="C131" s="25"/>
      <c r="D131" s="25"/>
      <c r="E131" s="25"/>
      <c r="F131" s="25"/>
      <c r="G131" s="26"/>
      <c r="H131" s="27" t="s">
        <v>300</v>
      </c>
      <c r="I131" s="28"/>
      <c r="J131" s="28"/>
      <c r="K131" s="28"/>
      <c r="L131" s="28"/>
      <c r="M131" s="29"/>
      <c r="N131" s="34">
        <f>750000</f>
        <v>750000</v>
      </c>
      <c r="O131" s="35"/>
      <c r="P131" s="32">
        <f>750000</f>
        <v>750000</v>
      </c>
      <c r="Q131" s="36"/>
      <c r="R131" s="35"/>
      <c r="S131" s="4" t="s">
        <v>19</v>
      </c>
      <c r="T131" s="23" t="s">
        <v>0</v>
      </c>
      <c r="U131" s="23"/>
    </row>
    <row r="132" spans="1:21" s="1" customFormat="1" ht="13.5" customHeight="1">
      <c r="A132" s="24" t="s">
        <v>146</v>
      </c>
      <c r="B132" s="25"/>
      <c r="C132" s="25"/>
      <c r="D132" s="25"/>
      <c r="E132" s="25"/>
      <c r="F132" s="25"/>
      <c r="G132" s="26"/>
      <c r="H132" s="27" t="s">
        <v>25</v>
      </c>
      <c r="I132" s="28"/>
      <c r="J132" s="28"/>
      <c r="K132" s="28"/>
      <c r="L132" s="28"/>
      <c r="M132" s="29"/>
      <c r="N132" s="34">
        <f>750000</f>
        <v>750000</v>
      </c>
      <c r="O132" s="35"/>
      <c r="P132" s="32">
        <f>750000</f>
        <v>750000</v>
      </c>
      <c r="Q132" s="36"/>
      <c r="R132" s="35"/>
      <c r="S132" s="4" t="s">
        <v>19</v>
      </c>
      <c r="T132" s="23" t="s">
        <v>0</v>
      </c>
      <c r="U132" s="23"/>
    </row>
    <row r="133" spans="1:21" s="1" customFormat="1" ht="65.25" customHeight="1">
      <c r="A133" s="24" t="s">
        <v>147</v>
      </c>
      <c r="B133" s="25"/>
      <c r="C133" s="25"/>
      <c r="D133" s="25"/>
      <c r="E133" s="25"/>
      <c r="F133" s="25"/>
      <c r="G133" s="26"/>
      <c r="H133" s="27" t="s">
        <v>301</v>
      </c>
      <c r="I133" s="28"/>
      <c r="J133" s="28"/>
      <c r="K133" s="28"/>
      <c r="L133" s="28"/>
      <c r="M133" s="29"/>
      <c r="N133" s="34">
        <f>8975000</f>
        <v>8975000</v>
      </c>
      <c r="O133" s="35"/>
      <c r="P133" s="32">
        <f>8926762.24</f>
        <v>8926762.24</v>
      </c>
      <c r="Q133" s="36"/>
      <c r="R133" s="35"/>
      <c r="S133" s="4" t="s">
        <v>302</v>
      </c>
      <c r="T133" s="22">
        <f>48237.76</f>
        <v>48237.76</v>
      </c>
      <c r="U133" s="22"/>
    </row>
    <row r="134" spans="1:21" s="1" customFormat="1" ht="13.5" customHeight="1">
      <c r="A134" s="24" t="s">
        <v>148</v>
      </c>
      <c r="B134" s="25"/>
      <c r="C134" s="25"/>
      <c r="D134" s="25"/>
      <c r="E134" s="25"/>
      <c r="F134" s="25"/>
      <c r="G134" s="26"/>
      <c r="H134" s="27" t="s">
        <v>25</v>
      </c>
      <c r="I134" s="28"/>
      <c r="J134" s="28"/>
      <c r="K134" s="28"/>
      <c r="L134" s="28"/>
      <c r="M134" s="29"/>
      <c r="N134" s="34">
        <f>800000</f>
        <v>800000</v>
      </c>
      <c r="O134" s="35"/>
      <c r="P134" s="32">
        <f>798243.92</f>
        <v>798243.92</v>
      </c>
      <c r="Q134" s="36"/>
      <c r="R134" s="35"/>
      <c r="S134" s="4" t="s">
        <v>303</v>
      </c>
      <c r="T134" s="22">
        <f>1756.08</f>
        <v>1756.08</v>
      </c>
      <c r="U134" s="22"/>
    </row>
    <row r="135" spans="1:21" s="1" customFormat="1" ht="28.5" customHeight="1">
      <c r="A135" s="24" t="s">
        <v>150</v>
      </c>
      <c r="B135" s="25"/>
      <c r="C135" s="25"/>
      <c r="D135" s="25"/>
      <c r="E135" s="25"/>
      <c r="F135" s="25"/>
      <c r="G135" s="26"/>
      <c r="H135" s="27" t="s">
        <v>34</v>
      </c>
      <c r="I135" s="28"/>
      <c r="J135" s="28"/>
      <c r="K135" s="28"/>
      <c r="L135" s="28"/>
      <c r="M135" s="29"/>
      <c r="N135" s="34">
        <f>8175000</f>
        <v>8175000</v>
      </c>
      <c r="O135" s="35"/>
      <c r="P135" s="32">
        <f>8128518.32</f>
        <v>8128518.32</v>
      </c>
      <c r="Q135" s="36"/>
      <c r="R135" s="35"/>
      <c r="S135" s="4" t="s">
        <v>304</v>
      </c>
      <c r="T135" s="22">
        <f>46481.68</f>
        <v>46481.68</v>
      </c>
      <c r="U135" s="22"/>
    </row>
    <row r="136" spans="1:21" s="1" customFormat="1" ht="27.75" customHeight="1">
      <c r="A136" s="24" t="s">
        <v>151</v>
      </c>
      <c r="B136" s="25"/>
      <c r="C136" s="25"/>
      <c r="D136" s="25"/>
      <c r="E136" s="25"/>
      <c r="F136" s="25"/>
      <c r="G136" s="26"/>
      <c r="H136" s="27" t="s">
        <v>152</v>
      </c>
      <c r="I136" s="28"/>
      <c r="J136" s="28"/>
      <c r="K136" s="28"/>
      <c r="L136" s="28"/>
      <c r="M136" s="29"/>
      <c r="N136" s="34">
        <f>99983.96</f>
        <v>99983.96</v>
      </c>
      <c r="O136" s="35"/>
      <c r="P136" s="32">
        <f>99983.96</f>
        <v>99983.96</v>
      </c>
      <c r="Q136" s="36"/>
      <c r="R136" s="35"/>
      <c r="S136" s="4" t="s">
        <v>19</v>
      </c>
      <c r="T136" s="23" t="s">
        <v>0</v>
      </c>
      <c r="U136" s="23"/>
    </row>
    <row r="137" spans="1:21" s="1" customFormat="1" ht="13.5" customHeight="1">
      <c r="A137" s="24" t="s">
        <v>153</v>
      </c>
      <c r="B137" s="25"/>
      <c r="C137" s="25"/>
      <c r="D137" s="25"/>
      <c r="E137" s="25"/>
      <c r="F137" s="25"/>
      <c r="G137" s="26"/>
      <c r="H137" s="27" t="s">
        <v>25</v>
      </c>
      <c r="I137" s="28"/>
      <c r="J137" s="28"/>
      <c r="K137" s="28"/>
      <c r="L137" s="28"/>
      <c r="M137" s="29"/>
      <c r="N137" s="34">
        <f>99983.96</f>
        <v>99983.96</v>
      </c>
      <c r="O137" s="35"/>
      <c r="P137" s="32">
        <f>99983.96</f>
        <v>99983.96</v>
      </c>
      <c r="Q137" s="36"/>
      <c r="R137" s="35"/>
      <c r="S137" s="4" t="s">
        <v>19</v>
      </c>
      <c r="T137" s="23" t="s">
        <v>0</v>
      </c>
      <c r="U137" s="23"/>
    </row>
    <row r="138" spans="1:21" s="1" customFormat="1" ht="24" customHeight="1">
      <c r="A138" s="24" t="s">
        <v>154</v>
      </c>
      <c r="B138" s="25"/>
      <c r="C138" s="25"/>
      <c r="D138" s="25"/>
      <c r="E138" s="25"/>
      <c r="F138" s="25"/>
      <c r="G138" s="26"/>
      <c r="H138" s="27" t="s">
        <v>155</v>
      </c>
      <c r="I138" s="28"/>
      <c r="J138" s="28"/>
      <c r="K138" s="28"/>
      <c r="L138" s="28"/>
      <c r="M138" s="29"/>
      <c r="N138" s="34">
        <f>249900</f>
        <v>249900</v>
      </c>
      <c r="O138" s="35"/>
      <c r="P138" s="32">
        <f>249900</f>
        <v>249900</v>
      </c>
      <c r="Q138" s="36"/>
      <c r="R138" s="35"/>
      <c r="S138" s="4" t="s">
        <v>19</v>
      </c>
      <c r="T138" s="23" t="s">
        <v>0</v>
      </c>
      <c r="U138" s="23"/>
    </row>
    <row r="139" spans="1:21" s="1" customFormat="1" ht="69" customHeight="1">
      <c r="A139" s="24" t="s">
        <v>305</v>
      </c>
      <c r="B139" s="25"/>
      <c r="C139" s="25"/>
      <c r="D139" s="25"/>
      <c r="E139" s="25"/>
      <c r="F139" s="25"/>
      <c r="G139" s="26"/>
      <c r="H139" s="27" t="s">
        <v>306</v>
      </c>
      <c r="I139" s="28"/>
      <c r="J139" s="28"/>
      <c r="K139" s="28"/>
      <c r="L139" s="28"/>
      <c r="M139" s="29"/>
      <c r="N139" s="34">
        <f>249900</f>
        <v>249900</v>
      </c>
      <c r="O139" s="35"/>
      <c r="P139" s="32">
        <f>249900</f>
        <v>249900</v>
      </c>
      <c r="Q139" s="36"/>
      <c r="R139" s="35"/>
      <c r="S139" s="4" t="s">
        <v>19</v>
      </c>
      <c r="T139" s="23" t="s">
        <v>0</v>
      </c>
      <c r="U139" s="23"/>
    </row>
    <row r="140" spans="1:21" s="1" customFormat="1" ht="24" customHeight="1">
      <c r="A140" s="24" t="s">
        <v>307</v>
      </c>
      <c r="B140" s="25"/>
      <c r="C140" s="25"/>
      <c r="D140" s="25"/>
      <c r="E140" s="25"/>
      <c r="F140" s="25"/>
      <c r="G140" s="26"/>
      <c r="H140" s="27" t="s">
        <v>25</v>
      </c>
      <c r="I140" s="28"/>
      <c r="J140" s="28"/>
      <c r="K140" s="28"/>
      <c r="L140" s="28"/>
      <c r="M140" s="29"/>
      <c r="N140" s="34">
        <f>249900</f>
        <v>249900</v>
      </c>
      <c r="O140" s="35"/>
      <c r="P140" s="32">
        <f>249900</f>
        <v>249900</v>
      </c>
      <c r="Q140" s="36"/>
      <c r="R140" s="35"/>
      <c r="S140" s="4" t="s">
        <v>19</v>
      </c>
      <c r="T140" s="23" t="s">
        <v>0</v>
      </c>
      <c r="U140" s="23"/>
    </row>
    <row r="141" spans="1:21" s="1" customFormat="1" ht="30" customHeight="1">
      <c r="A141" s="24" t="s">
        <v>156</v>
      </c>
      <c r="B141" s="25"/>
      <c r="C141" s="25"/>
      <c r="D141" s="25"/>
      <c r="E141" s="25"/>
      <c r="F141" s="25"/>
      <c r="G141" s="26"/>
      <c r="H141" s="27" t="s">
        <v>157</v>
      </c>
      <c r="I141" s="28"/>
      <c r="J141" s="28"/>
      <c r="K141" s="28"/>
      <c r="L141" s="28"/>
      <c r="M141" s="29"/>
      <c r="N141" s="34">
        <f>141855.24</f>
        <v>141855.24</v>
      </c>
      <c r="O141" s="35"/>
      <c r="P141" s="32">
        <f>141855.24</f>
        <v>141855.24</v>
      </c>
      <c r="Q141" s="36"/>
      <c r="R141" s="35"/>
      <c r="S141" s="4" t="s">
        <v>19</v>
      </c>
      <c r="T141" s="23" t="s">
        <v>0</v>
      </c>
      <c r="U141" s="23"/>
    </row>
    <row r="142" spans="1:21" s="1" customFormat="1" ht="82.5" customHeight="1">
      <c r="A142" s="24" t="s">
        <v>158</v>
      </c>
      <c r="B142" s="25"/>
      <c r="C142" s="25"/>
      <c r="D142" s="25"/>
      <c r="E142" s="25"/>
      <c r="F142" s="25"/>
      <c r="G142" s="26"/>
      <c r="H142" s="27" t="s">
        <v>308</v>
      </c>
      <c r="I142" s="28"/>
      <c r="J142" s="28"/>
      <c r="K142" s="28"/>
      <c r="L142" s="28"/>
      <c r="M142" s="29"/>
      <c r="N142" s="34">
        <f>141855.24</f>
        <v>141855.24</v>
      </c>
      <c r="O142" s="35"/>
      <c r="P142" s="32">
        <f>141855.24</f>
        <v>141855.24</v>
      </c>
      <c r="Q142" s="36"/>
      <c r="R142" s="35"/>
      <c r="S142" s="4" t="s">
        <v>19</v>
      </c>
      <c r="T142" s="23" t="s">
        <v>0</v>
      </c>
      <c r="U142" s="23"/>
    </row>
    <row r="143" spans="1:21" s="1" customFormat="1" ht="13.5" customHeight="1">
      <c r="A143" s="24" t="s">
        <v>159</v>
      </c>
      <c r="B143" s="25"/>
      <c r="C143" s="25"/>
      <c r="D143" s="25"/>
      <c r="E143" s="25"/>
      <c r="F143" s="25"/>
      <c r="G143" s="26"/>
      <c r="H143" s="27" t="s">
        <v>25</v>
      </c>
      <c r="I143" s="28"/>
      <c r="J143" s="28"/>
      <c r="K143" s="28"/>
      <c r="L143" s="28"/>
      <c r="M143" s="29"/>
      <c r="N143" s="34">
        <f>93855.24</f>
        <v>93855.24</v>
      </c>
      <c r="O143" s="35"/>
      <c r="P143" s="32">
        <f>93855.24</f>
        <v>93855.24</v>
      </c>
      <c r="Q143" s="36"/>
      <c r="R143" s="35"/>
      <c r="S143" s="4" t="s">
        <v>19</v>
      </c>
      <c r="T143" s="23" t="s">
        <v>0</v>
      </c>
      <c r="U143" s="23"/>
    </row>
    <row r="144" spans="1:21" s="1" customFormat="1" ht="17.25" customHeight="1">
      <c r="A144" s="24" t="s">
        <v>160</v>
      </c>
      <c r="B144" s="25"/>
      <c r="C144" s="25"/>
      <c r="D144" s="25"/>
      <c r="E144" s="25"/>
      <c r="F144" s="25"/>
      <c r="G144" s="26"/>
      <c r="H144" s="27" t="s">
        <v>161</v>
      </c>
      <c r="I144" s="28"/>
      <c r="J144" s="28"/>
      <c r="K144" s="28"/>
      <c r="L144" s="28"/>
      <c r="M144" s="29"/>
      <c r="N144" s="34">
        <f>48000</f>
        <v>48000</v>
      </c>
      <c r="O144" s="35"/>
      <c r="P144" s="32">
        <f>48000</f>
        <v>48000</v>
      </c>
      <c r="Q144" s="36"/>
      <c r="R144" s="35"/>
      <c r="S144" s="4" t="s">
        <v>19</v>
      </c>
      <c r="T144" s="23" t="s">
        <v>0</v>
      </c>
      <c r="U144" s="23"/>
    </row>
    <row r="145" spans="1:21" s="1" customFormat="1" ht="13.5" customHeight="1">
      <c r="A145" s="24" t="s">
        <v>162</v>
      </c>
      <c r="B145" s="25"/>
      <c r="C145" s="25"/>
      <c r="D145" s="25"/>
      <c r="E145" s="25"/>
      <c r="F145" s="25"/>
      <c r="G145" s="26"/>
      <c r="H145" s="27" t="s">
        <v>163</v>
      </c>
      <c r="I145" s="28"/>
      <c r="J145" s="28"/>
      <c r="K145" s="28"/>
      <c r="L145" s="28"/>
      <c r="M145" s="29"/>
      <c r="N145" s="34">
        <f>99356.22</f>
        <v>99356.22</v>
      </c>
      <c r="O145" s="35"/>
      <c r="P145" s="32">
        <f>99356.22</f>
        <v>99356.22</v>
      </c>
      <c r="Q145" s="36"/>
      <c r="R145" s="35"/>
      <c r="S145" s="4" t="s">
        <v>19</v>
      </c>
      <c r="T145" s="23" t="s">
        <v>0</v>
      </c>
      <c r="U145" s="23"/>
    </row>
    <row r="146" spans="1:21" s="1" customFormat="1" ht="81.75" customHeight="1">
      <c r="A146" s="24" t="s">
        <v>164</v>
      </c>
      <c r="B146" s="25"/>
      <c r="C146" s="25"/>
      <c r="D146" s="25"/>
      <c r="E146" s="25"/>
      <c r="F146" s="25"/>
      <c r="G146" s="26"/>
      <c r="H146" s="27" t="s">
        <v>309</v>
      </c>
      <c r="I146" s="28"/>
      <c r="J146" s="28"/>
      <c r="K146" s="28"/>
      <c r="L146" s="28"/>
      <c r="M146" s="29"/>
      <c r="N146" s="34">
        <f>99356.22</f>
        <v>99356.22</v>
      </c>
      <c r="O146" s="35"/>
      <c r="P146" s="32">
        <f>99356.22</f>
        <v>99356.22</v>
      </c>
      <c r="Q146" s="36"/>
      <c r="R146" s="35"/>
      <c r="S146" s="4" t="s">
        <v>19</v>
      </c>
      <c r="T146" s="23" t="s">
        <v>0</v>
      </c>
      <c r="U146" s="23"/>
    </row>
    <row r="147" spans="1:21" s="1" customFormat="1" ht="13.5" customHeight="1">
      <c r="A147" s="24" t="s">
        <v>165</v>
      </c>
      <c r="B147" s="25"/>
      <c r="C147" s="25"/>
      <c r="D147" s="25"/>
      <c r="E147" s="25"/>
      <c r="F147" s="25"/>
      <c r="G147" s="26"/>
      <c r="H147" s="27" t="s">
        <v>166</v>
      </c>
      <c r="I147" s="28"/>
      <c r="J147" s="28"/>
      <c r="K147" s="28"/>
      <c r="L147" s="28"/>
      <c r="M147" s="29"/>
      <c r="N147" s="34">
        <f>99356.22</f>
        <v>99356.22</v>
      </c>
      <c r="O147" s="35"/>
      <c r="P147" s="32">
        <f>99356.22</f>
        <v>99356.22</v>
      </c>
      <c r="Q147" s="36"/>
      <c r="R147" s="35"/>
      <c r="S147" s="4" t="s">
        <v>19</v>
      </c>
      <c r="T147" s="23" t="s">
        <v>0</v>
      </c>
      <c r="U147" s="23"/>
    </row>
    <row r="148" spans="1:21" s="1" customFormat="1" ht="25.5" customHeight="1">
      <c r="A148" s="24" t="s">
        <v>167</v>
      </c>
      <c r="B148" s="25"/>
      <c r="C148" s="25"/>
      <c r="D148" s="25"/>
      <c r="E148" s="25"/>
      <c r="F148" s="25"/>
      <c r="G148" s="26"/>
      <c r="H148" s="27" t="s">
        <v>168</v>
      </c>
      <c r="I148" s="28"/>
      <c r="J148" s="28"/>
      <c r="K148" s="28"/>
      <c r="L148" s="28"/>
      <c r="M148" s="29"/>
      <c r="N148" s="34">
        <f>2422951.25</f>
        <v>2422951.25</v>
      </c>
      <c r="O148" s="35"/>
      <c r="P148" s="32">
        <f>74351.25</f>
        <v>74351.25</v>
      </c>
      <c r="Q148" s="36"/>
      <c r="R148" s="35"/>
      <c r="S148" s="4" t="s">
        <v>310</v>
      </c>
      <c r="T148" s="22">
        <f>2348600</f>
        <v>2348600</v>
      </c>
      <c r="U148" s="22"/>
    </row>
    <row r="149" spans="1:21" s="1" customFormat="1" ht="69.75" customHeight="1">
      <c r="A149" s="24" t="s">
        <v>169</v>
      </c>
      <c r="B149" s="25"/>
      <c r="C149" s="25"/>
      <c r="D149" s="25"/>
      <c r="E149" s="25"/>
      <c r="F149" s="25"/>
      <c r="G149" s="26"/>
      <c r="H149" s="27" t="s">
        <v>311</v>
      </c>
      <c r="I149" s="28"/>
      <c r="J149" s="28"/>
      <c r="K149" s="28"/>
      <c r="L149" s="28"/>
      <c r="M149" s="29"/>
      <c r="N149" s="34">
        <f>15000</f>
        <v>15000</v>
      </c>
      <c r="O149" s="35"/>
      <c r="P149" s="32">
        <f>15000</f>
        <v>15000</v>
      </c>
      <c r="Q149" s="36"/>
      <c r="R149" s="35"/>
      <c r="S149" s="4" t="s">
        <v>19</v>
      </c>
      <c r="T149" s="23" t="s">
        <v>0</v>
      </c>
      <c r="U149" s="23"/>
    </row>
    <row r="150" spans="1:21" s="1" customFormat="1" ht="13.5" customHeight="1">
      <c r="A150" s="24" t="s">
        <v>170</v>
      </c>
      <c r="B150" s="25"/>
      <c r="C150" s="25"/>
      <c r="D150" s="25"/>
      <c r="E150" s="25"/>
      <c r="F150" s="25"/>
      <c r="G150" s="26"/>
      <c r="H150" s="27" t="s">
        <v>171</v>
      </c>
      <c r="I150" s="28"/>
      <c r="J150" s="28"/>
      <c r="K150" s="28"/>
      <c r="L150" s="28"/>
      <c r="M150" s="29"/>
      <c r="N150" s="34">
        <f>15000</f>
        <v>15000</v>
      </c>
      <c r="O150" s="35"/>
      <c r="P150" s="32">
        <f>15000</f>
        <v>15000</v>
      </c>
      <c r="Q150" s="36"/>
      <c r="R150" s="35"/>
      <c r="S150" s="4" t="s">
        <v>19</v>
      </c>
      <c r="T150" s="23" t="s">
        <v>0</v>
      </c>
      <c r="U150" s="23"/>
    </row>
    <row r="151" spans="1:21" s="1" customFormat="1" ht="75.75" customHeight="1">
      <c r="A151" s="24" t="s">
        <v>172</v>
      </c>
      <c r="B151" s="25"/>
      <c r="C151" s="25"/>
      <c r="D151" s="25"/>
      <c r="E151" s="25"/>
      <c r="F151" s="25"/>
      <c r="G151" s="26"/>
      <c r="H151" s="27" t="s">
        <v>312</v>
      </c>
      <c r="I151" s="28"/>
      <c r="J151" s="28"/>
      <c r="K151" s="28"/>
      <c r="L151" s="28"/>
      <c r="M151" s="29"/>
      <c r="N151" s="34">
        <f>29351.25</f>
        <v>29351.25</v>
      </c>
      <c r="O151" s="35"/>
      <c r="P151" s="32">
        <f>29351.25</f>
        <v>29351.25</v>
      </c>
      <c r="Q151" s="36"/>
      <c r="R151" s="35"/>
      <c r="S151" s="4" t="s">
        <v>19</v>
      </c>
      <c r="T151" s="23" t="s">
        <v>0</v>
      </c>
      <c r="U151" s="23"/>
    </row>
    <row r="152" spans="1:21" s="1" customFormat="1" ht="13.5" customHeight="1">
      <c r="A152" s="24" t="s">
        <v>173</v>
      </c>
      <c r="B152" s="25"/>
      <c r="C152" s="25"/>
      <c r="D152" s="25"/>
      <c r="E152" s="25"/>
      <c r="F152" s="25"/>
      <c r="G152" s="26"/>
      <c r="H152" s="27" t="s">
        <v>25</v>
      </c>
      <c r="I152" s="28"/>
      <c r="J152" s="28"/>
      <c r="K152" s="28"/>
      <c r="L152" s="28"/>
      <c r="M152" s="29"/>
      <c r="N152" s="34">
        <f>29351.25</f>
        <v>29351.25</v>
      </c>
      <c r="O152" s="35"/>
      <c r="P152" s="32">
        <f>29351.25</f>
        <v>29351.25</v>
      </c>
      <c r="Q152" s="36"/>
      <c r="R152" s="35"/>
      <c r="S152" s="4" t="s">
        <v>19</v>
      </c>
      <c r="T152" s="23" t="s">
        <v>0</v>
      </c>
      <c r="U152" s="23"/>
    </row>
    <row r="153" spans="1:21" s="1" customFormat="1" ht="73.5" customHeight="1">
      <c r="A153" s="24" t="s">
        <v>174</v>
      </c>
      <c r="B153" s="25"/>
      <c r="C153" s="25"/>
      <c r="D153" s="25"/>
      <c r="E153" s="25"/>
      <c r="F153" s="25"/>
      <c r="G153" s="26"/>
      <c r="H153" s="27" t="s">
        <v>313</v>
      </c>
      <c r="I153" s="28"/>
      <c r="J153" s="28"/>
      <c r="K153" s="28"/>
      <c r="L153" s="28"/>
      <c r="M153" s="29"/>
      <c r="N153" s="34">
        <f>35000</f>
        <v>35000</v>
      </c>
      <c r="O153" s="35"/>
      <c r="P153" s="32">
        <f>30000</f>
        <v>30000</v>
      </c>
      <c r="Q153" s="36"/>
      <c r="R153" s="35"/>
      <c r="S153" s="4" t="s">
        <v>314</v>
      </c>
      <c r="T153" s="22">
        <f>5000</f>
        <v>5000</v>
      </c>
      <c r="U153" s="22"/>
    </row>
    <row r="154" spans="1:21" s="1" customFormat="1" ht="30" customHeight="1">
      <c r="A154" s="24" t="s">
        <v>175</v>
      </c>
      <c r="B154" s="25"/>
      <c r="C154" s="25"/>
      <c r="D154" s="25"/>
      <c r="E154" s="25"/>
      <c r="F154" s="25"/>
      <c r="G154" s="26"/>
      <c r="H154" s="27" t="s">
        <v>25</v>
      </c>
      <c r="I154" s="28"/>
      <c r="J154" s="28"/>
      <c r="K154" s="28"/>
      <c r="L154" s="28"/>
      <c r="M154" s="29"/>
      <c r="N154" s="34">
        <f>5000</f>
        <v>5000</v>
      </c>
      <c r="O154" s="35"/>
      <c r="P154" s="37" t="s">
        <v>0</v>
      </c>
      <c r="Q154" s="38"/>
      <c r="R154" s="39"/>
      <c r="S154" s="4" t="s">
        <v>41</v>
      </c>
      <c r="T154" s="22">
        <f>5000</f>
        <v>5000</v>
      </c>
      <c r="U154" s="22"/>
    </row>
    <row r="155" spans="1:21" s="1" customFormat="1" ht="13.5" customHeight="1">
      <c r="A155" s="24" t="s">
        <v>176</v>
      </c>
      <c r="B155" s="25"/>
      <c r="C155" s="25"/>
      <c r="D155" s="25"/>
      <c r="E155" s="25"/>
      <c r="F155" s="25"/>
      <c r="G155" s="26"/>
      <c r="H155" s="27" t="s">
        <v>132</v>
      </c>
      <c r="I155" s="28"/>
      <c r="J155" s="28"/>
      <c r="K155" s="28"/>
      <c r="L155" s="28"/>
      <c r="M155" s="29"/>
      <c r="N155" s="34">
        <f>30000</f>
        <v>30000</v>
      </c>
      <c r="O155" s="35"/>
      <c r="P155" s="32">
        <f>30000</f>
        <v>30000</v>
      </c>
      <c r="Q155" s="36"/>
      <c r="R155" s="35"/>
      <c r="S155" s="4" t="s">
        <v>19</v>
      </c>
      <c r="T155" s="23" t="s">
        <v>0</v>
      </c>
      <c r="U155" s="23"/>
    </row>
    <row r="156" spans="1:21" s="1" customFormat="1" ht="120" customHeight="1">
      <c r="A156" s="24" t="s">
        <v>315</v>
      </c>
      <c r="B156" s="25"/>
      <c r="C156" s="25"/>
      <c r="D156" s="25"/>
      <c r="E156" s="25"/>
      <c r="F156" s="25"/>
      <c r="G156" s="26"/>
      <c r="H156" s="27" t="s">
        <v>269</v>
      </c>
      <c r="I156" s="28"/>
      <c r="J156" s="28"/>
      <c r="K156" s="28"/>
      <c r="L156" s="28"/>
      <c r="M156" s="29"/>
      <c r="N156" s="34">
        <f>2296728</f>
        <v>2296728</v>
      </c>
      <c r="O156" s="35"/>
      <c r="P156" s="37" t="s">
        <v>0</v>
      </c>
      <c r="Q156" s="38"/>
      <c r="R156" s="39"/>
      <c r="S156" s="4" t="s">
        <v>41</v>
      </c>
      <c r="T156" s="22">
        <f>2296728</f>
        <v>2296728</v>
      </c>
      <c r="U156" s="22"/>
    </row>
    <row r="157" spans="1:21" s="1" customFormat="1" ht="13.5" customHeight="1">
      <c r="A157" s="24" t="s">
        <v>316</v>
      </c>
      <c r="B157" s="25"/>
      <c r="C157" s="25"/>
      <c r="D157" s="25"/>
      <c r="E157" s="25"/>
      <c r="F157" s="25"/>
      <c r="G157" s="26"/>
      <c r="H157" s="27" t="s">
        <v>177</v>
      </c>
      <c r="I157" s="28"/>
      <c r="J157" s="28"/>
      <c r="K157" s="28"/>
      <c r="L157" s="28"/>
      <c r="M157" s="29"/>
      <c r="N157" s="34">
        <f>2296728</f>
        <v>2296728</v>
      </c>
      <c r="O157" s="35"/>
      <c r="P157" s="37" t="s">
        <v>0</v>
      </c>
      <c r="Q157" s="38"/>
      <c r="R157" s="39"/>
      <c r="S157" s="4" t="s">
        <v>41</v>
      </c>
      <c r="T157" s="22">
        <f>2296728</f>
        <v>2296728</v>
      </c>
      <c r="U157" s="22"/>
    </row>
    <row r="158" spans="1:21" s="1" customFormat="1" ht="106.5" customHeight="1">
      <c r="A158" s="24" t="s">
        <v>317</v>
      </c>
      <c r="B158" s="25"/>
      <c r="C158" s="25"/>
      <c r="D158" s="25"/>
      <c r="E158" s="25"/>
      <c r="F158" s="25"/>
      <c r="G158" s="26"/>
      <c r="H158" s="27" t="s">
        <v>271</v>
      </c>
      <c r="I158" s="28"/>
      <c r="J158" s="28"/>
      <c r="K158" s="28"/>
      <c r="L158" s="28"/>
      <c r="M158" s="29"/>
      <c r="N158" s="34">
        <f>46872</f>
        <v>46872</v>
      </c>
      <c r="O158" s="35"/>
      <c r="P158" s="37" t="s">
        <v>0</v>
      </c>
      <c r="Q158" s="38"/>
      <c r="R158" s="39"/>
      <c r="S158" s="4" t="s">
        <v>41</v>
      </c>
      <c r="T158" s="22">
        <f>46872</f>
        <v>46872</v>
      </c>
      <c r="U158" s="22"/>
    </row>
    <row r="159" spans="1:21" s="1" customFormat="1" ht="13.5" customHeight="1">
      <c r="A159" s="24" t="s">
        <v>318</v>
      </c>
      <c r="B159" s="25"/>
      <c r="C159" s="25"/>
      <c r="D159" s="25"/>
      <c r="E159" s="25"/>
      <c r="F159" s="25"/>
      <c r="G159" s="26"/>
      <c r="H159" s="27" t="s">
        <v>177</v>
      </c>
      <c r="I159" s="28"/>
      <c r="J159" s="28"/>
      <c r="K159" s="28"/>
      <c r="L159" s="28"/>
      <c r="M159" s="29"/>
      <c r="N159" s="34">
        <f>46872</f>
        <v>46872</v>
      </c>
      <c r="O159" s="35"/>
      <c r="P159" s="37" t="s">
        <v>0</v>
      </c>
      <c r="Q159" s="38"/>
      <c r="R159" s="39"/>
      <c r="S159" s="4" t="s">
        <v>41</v>
      </c>
      <c r="T159" s="22">
        <f>46872</f>
        <v>46872</v>
      </c>
      <c r="U159" s="22"/>
    </row>
    <row r="160" spans="1:21" s="1" customFormat="1" ht="21.75" customHeight="1">
      <c r="A160" s="24" t="s">
        <v>178</v>
      </c>
      <c r="B160" s="25"/>
      <c r="C160" s="25"/>
      <c r="D160" s="25"/>
      <c r="E160" s="25"/>
      <c r="F160" s="25"/>
      <c r="G160" s="26"/>
      <c r="H160" s="27" t="s">
        <v>179</v>
      </c>
      <c r="I160" s="28"/>
      <c r="J160" s="28"/>
      <c r="K160" s="28"/>
      <c r="L160" s="28"/>
      <c r="M160" s="29"/>
      <c r="N160" s="34">
        <f>396705.37</f>
        <v>396705.37</v>
      </c>
      <c r="O160" s="35"/>
      <c r="P160" s="32">
        <f>373082.4</f>
        <v>373082.4</v>
      </c>
      <c r="Q160" s="36"/>
      <c r="R160" s="35"/>
      <c r="S160" s="4" t="s">
        <v>319</v>
      </c>
      <c r="T160" s="22">
        <f>23622.97</f>
        <v>23622.97</v>
      </c>
      <c r="U160" s="22"/>
    </row>
    <row r="161" spans="1:21" s="1" customFormat="1" ht="124.5" customHeight="1">
      <c r="A161" s="24" t="s">
        <v>180</v>
      </c>
      <c r="B161" s="25"/>
      <c r="C161" s="25"/>
      <c r="D161" s="25"/>
      <c r="E161" s="25"/>
      <c r="F161" s="25"/>
      <c r="G161" s="26"/>
      <c r="H161" s="27" t="s">
        <v>320</v>
      </c>
      <c r="I161" s="28"/>
      <c r="J161" s="28"/>
      <c r="K161" s="28"/>
      <c r="L161" s="28"/>
      <c r="M161" s="29"/>
      <c r="N161" s="34">
        <f>396705.37</f>
        <v>396705.37</v>
      </c>
      <c r="O161" s="35"/>
      <c r="P161" s="32">
        <f>373082.4</f>
        <v>373082.4</v>
      </c>
      <c r="Q161" s="36"/>
      <c r="R161" s="35"/>
      <c r="S161" s="4" t="s">
        <v>319</v>
      </c>
      <c r="T161" s="22">
        <f>23622.97</f>
        <v>23622.97</v>
      </c>
      <c r="U161" s="22"/>
    </row>
    <row r="162" spans="1:21" s="1" customFormat="1" ht="13.5" customHeight="1">
      <c r="A162" s="24" t="s">
        <v>181</v>
      </c>
      <c r="B162" s="25"/>
      <c r="C162" s="25"/>
      <c r="D162" s="25"/>
      <c r="E162" s="25"/>
      <c r="F162" s="25"/>
      <c r="G162" s="26"/>
      <c r="H162" s="27" t="s">
        <v>25</v>
      </c>
      <c r="I162" s="28"/>
      <c r="J162" s="28"/>
      <c r="K162" s="28"/>
      <c r="L162" s="28"/>
      <c r="M162" s="29"/>
      <c r="N162" s="34">
        <f>396705.37</f>
        <v>396705.37</v>
      </c>
      <c r="O162" s="35"/>
      <c r="P162" s="32">
        <f>373082.4</f>
        <v>373082.4</v>
      </c>
      <c r="Q162" s="36"/>
      <c r="R162" s="35"/>
      <c r="S162" s="4" t="s">
        <v>319</v>
      </c>
      <c r="T162" s="22">
        <f>23622.97</f>
        <v>23622.97</v>
      </c>
      <c r="U162" s="22"/>
    </row>
    <row r="163" spans="1:21" s="1" customFormat="1" ht="31.5" customHeight="1">
      <c r="A163" s="24" t="s">
        <v>182</v>
      </c>
      <c r="B163" s="25"/>
      <c r="C163" s="25"/>
      <c r="D163" s="25"/>
      <c r="E163" s="25"/>
      <c r="F163" s="25"/>
      <c r="G163" s="26"/>
      <c r="H163" s="27" t="s">
        <v>183</v>
      </c>
      <c r="I163" s="28"/>
      <c r="J163" s="28"/>
      <c r="K163" s="28"/>
      <c r="L163" s="28"/>
      <c r="M163" s="29"/>
      <c r="N163" s="34">
        <f>15179950.48</f>
        <v>15179950.48</v>
      </c>
      <c r="O163" s="35"/>
      <c r="P163" s="32">
        <f>15179950.48</f>
        <v>15179950.48</v>
      </c>
      <c r="Q163" s="36"/>
      <c r="R163" s="35"/>
      <c r="S163" s="4" t="s">
        <v>19</v>
      </c>
      <c r="T163" s="23" t="s">
        <v>0</v>
      </c>
      <c r="U163" s="23"/>
    </row>
    <row r="164" spans="1:21" s="1" customFormat="1" ht="13.5" customHeight="1">
      <c r="A164" s="24" t="s">
        <v>184</v>
      </c>
      <c r="B164" s="25"/>
      <c r="C164" s="25"/>
      <c r="D164" s="25"/>
      <c r="E164" s="25"/>
      <c r="F164" s="25"/>
      <c r="G164" s="26"/>
      <c r="H164" s="27" t="s">
        <v>185</v>
      </c>
      <c r="I164" s="28"/>
      <c r="J164" s="28"/>
      <c r="K164" s="28"/>
      <c r="L164" s="28"/>
      <c r="M164" s="29"/>
      <c r="N164" s="34">
        <f>15179950.48</f>
        <v>15179950.48</v>
      </c>
      <c r="O164" s="35"/>
      <c r="P164" s="32">
        <f>15179950.48</f>
        <v>15179950.48</v>
      </c>
      <c r="Q164" s="36"/>
      <c r="R164" s="35"/>
      <c r="S164" s="4" t="s">
        <v>19</v>
      </c>
      <c r="T164" s="23" t="s">
        <v>0</v>
      </c>
      <c r="U164" s="23"/>
    </row>
    <row r="165" spans="1:21" s="1" customFormat="1" ht="78" customHeight="1">
      <c r="A165" s="24" t="s">
        <v>186</v>
      </c>
      <c r="B165" s="25"/>
      <c r="C165" s="25"/>
      <c r="D165" s="25"/>
      <c r="E165" s="25"/>
      <c r="F165" s="25"/>
      <c r="G165" s="26"/>
      <c r="H165" s="27" t="s">
        <v>321</v>
      </c>
      <c r="I165" s="28"/>
      <c r="J165" s="28"/>
      <c r="K165" s="28"/>
      <c r="L165" s="28"/>
      <c r="M165" s="29"/>
      <c r="N165" s="34">
        <f>11279048.89</f>
        <v>11279048.89</v>
      </c>
      <c r="O165" s="35"/>
      <c r="P165" s="32">
        <f>11279048.89</f>
        <v>11279048.89</v>
      </c>
      <c r="Q165" s="36"/>
      <c r="R165" s="35"/>
      <c r="S165" s="4" t="s">
        <v>19</v>
      </c>
      <c r="T165" s="23" t="s">
        <v>0</v>
      </c>
      <c r="U165" s="23"/>
    </row>
    <row r="166" spans="1:21" s="1" customFormat="1" ht="24" customHeight="1">
      <c r="A166" s="24" t="s">
        <v>187</v>
      </c>
      <c r="B166" s="25"/>
      <c r="C166" s="25"/>
      <c r="D166" s="25"/>
      <c r="E166" s="25"/>
      <c r="F166" s="25"/>
      <c r="G166" s="26"/>
      <c r="H166" s="27" t="s">
        <v>188</v>
      </c>
      <c r="I166" s="28"/>
      <c r="J166" s="28"/>
      <c r="K166" s="28"/>
      <c r="L166" s="28"/>
      <c r="M166" s="29"/>
      <c r="N166" s="34">
        <f>5386689.91</f>
        <v>5386689.91</v>
      </c>
      <c r="O166" s="35"/>
      <c r="P166" s="32">
        <f>5386689.91</f>
        <v>5386689.91</v>
      </c>
      <c r="Q166" s="36"/>
      <c r="R166" s="35"/>
      <c r="S166" s="4" t="s">
        <v>19</v>
      </c>
      <c r="T166" s="23" t="s">
        <v>0</v>
      </c>
      <c r="U166" s="23"/>
    </row>
    <row r="167" spans="1:21" s="1" customFormat="1" ht="39.75" customHeight="1">
      <c r="A167" s="24" t="s">
        <v>189</v>
      </c>
      <c r="B167" s="25"/>
      <c r="C167" s="25"/>
      <c r="D167" s="25"/>
      <c r="E167" s="25"/>
      <c r="F167" s="25"/>
      <c r="G167" s="26"/>
      <c r="H167" s="27" t="s">
        <v>190</v>
      </c>
      <c r="I167" s="28"/>
      <c r="J167" s="28"/>
      <c r="K167" s="28"/>
      <c r="L167" s="28"/>
      <c r="M167" s="29"/>
      <c r="N167" s="34">
        <f>1649153.67</f>
        <v>1649153.67</v>
      </c>
      <c r="O167" s="35"/>
      <c r="P167" s="32">
        <f>1649153.67</f>
        <v>1649153.67</v>
      </c>
      <c r="Q167" s="36"/>
      <c r="R167" s="35"/>
      <c r="S167" s="4" t="s">
        <v>19</v>
      </c>
      <c r="T167" s="23" t="s">
        <v>0</v>
      </c>
      <c r="U167" s="23"/>
    </row>
    <row r="168" spans="1:21" s="1" customFormat="1" ht="27" customHeight="1">
      <c r="A168" s="24" t="s">
        <v>191</v>
      </c>
      <c r="B168" s="25"/>
      <c r="C168" s="25"/>
      <c r="D168" s="25"/>
      <c r="E168" s="25"/>
      <c r="F168" s="25"/>
      <c r="G168" s="26"/>
      <c r="H168" s="27" t="s">
        <v>25</v>
      </c>
      <c r="I168" s="28"/>
      <c r="J168" s="28"/>
      <c r="K168" s="28"/>
      <c r="L168" s="28"/>
      <c r="M168" s="29"/>
      <c r="N168" s="34">
        <f>4019856.4</f>
        <v>4019856.4</v>
      </c>
      <c r="O168" s="35"/>
      <c r="P168" s="32">
        <f>4019856.4</f>
        <v>4019856.4</v>
      </c>
      <c r="Q168" s="36"/>
      <c r="R168" s="35"/>
      <c r="S168" s="4" t="s">
        <v>19</v>
      </c>
      <c r="T168" s="23" t="s">
        <v>0</v>
      </c>
      <c r="U168" s="23"/>
    </row>
    <row r="169" spans="1:21" s="1" customFormat="1" ht="13.5" customHeight="1">
      <c r="A169" s="24" t="s">
        <v>192</v>
      </c>
      <c r="B169" s="25"/>
      <c r="C169" s="25"/>
      <c r="D169" s="25"/>
      <c r="E169" s="25"/>
      <c r="F169" s="25"/>
      <c r="G169" s="26"/>
      <c r="H169" s="27" t="s">
        <v>34</v>
      </c>
      <c r="I169" s="28"/>
      <c r="J169" s="28"/>
      <c r="K169" s="28"/>
      <c r="L169" s="28"/>
      <c r="M169" s="29"/>
      <c r="N169" s="34">
        <f>223348.91</f>
        <v>223348.91</v>
      </c>
      <c r="O169" s="35"/>
      <c r="P169" s="32">
        <f>223348.91</f>
        <v>223348.91</v>
      </c>
      <c r="Q169" s="36"/>
      <c r="R169" s="35"/>
      <c r="S169" s="4" t="s">
        <v>19</v>
      </c>
      <c r="T169" s="23" t="s">
        <v>0</v>
      </c>
      <c r="U169" s="23"/>
    </row>
    <row r="170" spans="1:21" s="1" customFormat="1" ht="102" customHeight="1">
      <c r="A170" s="24" t="s">
        <v>193</v>
      </c>
      <c r="B170" s="25"/>
      <c r="C170" s="25"/>
      <c r="D170" s="25"/>
      <c r="E170" s="25"/>
      <c r="F170" s="25"/>
      <c r="G170" s="26"/>
      <c r="H170" s="27" t="s">
        <v>194</v>
      </c>
      <c r="I170" s="28"/>
      <c r="J170" s="28"/>
      <c r="K170" s="28"/>
      <c r="L170" s="28"/>
      <c r="M170" s="29"/>
      <c r="N170" s="34">
        <f>199301.59</f>
        <v>199301.59</v>
      </c>
      <c r="O170" s="35"/>
      <c r="P170" s="32">
        <f>199301.59</f>
        <v>199301.59</v>
      </c>
      <c r="Q170" s="36"/>
      <c r="R170" s="35"/>
      <c r="S170" s="4" t="s">
        <v>19</v>
      </c>
      <c r="T170" s="23" t="s">
        <v>0</v>
      </c>
      <c r="U170" s="23"/>
    </row>
    <row r="171" spans="1:21" s="1" customFormat="1" ht="13.5" customHeight="1">
      <c r="A171" s="24" t="s">
        <v>195</v>
      </c>
      <c r="B171" s="25"/>
      <c r="C171" s="25"/>
      <c r="D171" s="25"/>
      <c r="E171" s="25"/>
      <c r="F171" s="25"/>
      <c r="G171" s="26"/>
      <c r="H171" s="27" t="s">
        <v>188</v>
      </c>
      <c r="I171" s="28"/>
      <c r="J171" s="28"/>
      <c r="K171" s="28"/>
      <c r="L171" s="28"/>
      <c r="M171" s="29"/>
      <c r="N171" s="34">
        <f>153073.42</f>
        <v>153073.42</v>
      </c>
      <c r="O171" s="35"/>
      <c r="P171" s="32">
        <f>153073.42</f>
        <v>153073.42</v>
      </c>
      <c r="Q171" s="36"/>
      <c r="R171" s="35"/>
      <c r="S171" s="4" t="s">
        <v>19</v>
      </c>
      <c r="T171" s="23" t="s">
        <v>0</v>
      </c>
      <c r="U171" s="23"/>
    </row>
    <row r="172" spans="1:21" s="1" customFormat="1" ht="41.25" customHeight="1">
      <c r="A172" s="24" t="s">
        <v>196</v>
      </c>
      <c r="B172" s="25"/>
      <c r="C172" s="25"/>
      <c r="D172" s="25"/>
      <c r="E172" s="25"/>
      <c r="F172" s="25"/>
      <c r="G172" s="26"/>
      <c r="H172" s="27" t="s">
        <v>190</v>
      </c>
      <c r="I172" s="28"/>
      <c r="J172" s="28"/>
      <c r="K172" s="28"/>
      <c r="L172" s="28"/>
      <c r="M172" s="29"/>
      <c r="N172" s="34">
        <f>46228.17</f>
        <v>46228.17</v>
      </c>
      <c r="O172" s="35"/>
      <c r="P172" s="32">
        <f>46228.17</f>
        <v>46228.17</v>
      </c>
      <c r="Q172" s="36"/>
      <c r="R172" s="35"/>
      <c r="S172" s="4" t="s">
        <v>19</v>
      </c>
      <c r="T172" s="23" t="s">
        <v>0</v>
      </c>
      <c r="U172" s="23"/>
    </row>
    <row r="173" spans="1:21" s="1" customFormat="1" ht="90" customHeight="1">
      <c r="A173" s="24" t="s">
        <v>197</v>
      </c>
      <c r="B173" s="25"/>
      <c r="C173" s="25"/>
      <c r="D173" s="25"/>
      <c r="E173" s="25"/>
      <c r="F173" s="25"/>
      <c r="G173" s="26"/>
      <c r="H173" s="27" t="s">
        <v>322</v>
      </c>
      <c r="I173" s="28"/>
      <c r="J173" s="28"/>
      <c r="K173" s="28"/>
      <c r="L173" s="28"/>
      <c r="M173" s="29"/>
      <c r="N173" s="34">
        <f>1946860</f>
        <v>1946860</v>
      </c>
      <c r="O173" s="35"/>
      <c r="P173" s="32">
        <f>1946860</f>
        <v>1946860</v>
      </c>
      <c r="Q173" s="36"/>
      <c r="R173" s="35"/>
      <c r="S173" s="4" t="s">
        <v>19</v>
      </c>
      <c r="T173" s="23" t="s">
        <v>0</v>
      </c>
      <c r="U173" s="23"/>
    </row>
    <row r="174" spans="1:21" s="1" customFormat="1" ht="34.5" customHeight="1">
      <c r="A174" s="24" t="s">
        <v>198</v>
      </c>
      <c r="B174" s="25"/>
      <c r="C174" s="25"/>
      <c r="D174" s="25"/>
      <c r="E174" s="25"/>
      <c r="F174" s="25"/>
      <c r="G174" s="26"/>
      <c r="H174" s="27" t="s">
        <v>199</v>
      </c>
      <c r="I174" s="28"/>
      <c r="J174" s="28"/>
      <c r="K174" s="28"/>
      <c r="L174" s="28"/>
      <c r="M174" s="29"/>
      <c r="N174" s="34">
        <f>23650.12</f>
        <v>23650.12</v>
      </c>
      <c r="O174" s="35"/>
      <c r="P174" s="32">
        <f>23650.12</f>
        <v>23650.12</v>
      </c>
      <c r="Q174" s="36"/>
      <c r="R174" s="35"/>
      <c r="S174" s="4" t="s">
        <v>19</v>
      </c>
      <c r="T174" s="23" t="s">
        <v>0</v>
      </c>
      <c r="U174" s="23"/>
    </row>
    <row r="175" spans="1:21" s="1" customFormat="1" ht="27.75" customHeight="1">
      <c r="A175" s="24" t="s">
        <v>200</v>
      </c>
      <c r="B175" s="25"/>
      <c r="C175" s="25"/>
      <c r="D175" s="25"/>
      <c r="E175" s="25"/>
      <c r="F175" s="25"/>
      <c r="G175" s="26"/>
      <c r="H175" s="27" t="s">
        <v>25</v>
      </c>
      <c r="I175" s="28"/>
      <c r="J175" s="28"/>
      <c r="K175" s="28"/>
      <c r="L175" s="28"/>
      <c r="M175" s="29"/>
      <c r="N175" s="34">
        <f>1923141.08</f>
        <v>1923141.08</v>
      </c>
      <c r="O175" s="35"/>
      <c r="P175" s="32">
        <f>1923141.08</f>
        <v>1923141.08</v>
      </c>
      <c r="Q175" s="36"/>
      <c r="R175" s="35"/>
      <c r="S175" s="4" t="s">
        <v>19</v>
      </c>
      <c r="T175" s="23" t="s">
        <v>0</v>
      </c>
      <c r="U175" s="23"/>
    </row>
    <row r="176" spans="1:21" s="1" customFormat="1" ht="30.75" customHeight="1">
      <c r="A176" s="24" t="s">
        <v>201</v>
      </c>
      <c r="B176" s="25"/>
      <c r="C176" s="25"/>
      <c r="D176" s="25"/>
      <c r="E176" s="25"/>
      <c r="F176" s="25"/>
      <c r="G176" s="26"/>
      <c r="H176" s="27" t="s">
        <v>50</v>
      </c>
      <c r="I176" s="28"/>
      <c r="J176" s="28"/>
      <c r="K176" s="28"/>
      <c r="L176" s="28"/>
      <c r="M176" s="29"/>
      <c r="N176" s="34">
        <f>68.8</f>
        <v>68.8</v>
      </c>
      <c r="O176" s="35"/>
      <c r="P176" s="32">
        <f>68.8</f>
        <v>68.8</v>
      </c>
      <c r="Q176" s="36"/>
      <c r="R176" s="35"/>
      <c r="S176" s="4" t="s">
        <v>19</v>
      </c>
      <c r="T176" s="23" t="s">
        <v>0</v>
      </c>
      <c r="U176" s="23"/>
    </row>
    <row r="177" spans="1:21" s="1" customFormat="1" ht="93" customHeight="1">
      <c r="A177" s="24" t="s">
        <v>202</v>
      </c>
      <c r="B177" s="25"/>
      <c r="C177" s="25"/>
      <c r="D177" s="25"/>
      <c r="E177" s="25"/>
      <c r="F177" s="25"/>
      <c r="G177" s="26"/>
      <c r="H177" s="27" t="s">
        <v>323</v>
      </c>
      <c r="I177" s="28"/>
      <c r="J177" s="28"/>
      <c r="K177" s="28"/>
      <c r="L177" s="28"/>
      <c r="M177" s="29"/>
      <c r="N177" s="34">
        <f>280000</f>
        <v>280000</v>
      </c>
      <c r="O177" s="35"/>
      <c r="P177" s="32">
        <f>280000</f>
        <v>280000</v>
      </c>
      <c r="Q177" s="36"/>
      <c r="R177" s="35"/>
      <c r="S177" s="4" t="s">
        <v>19</v>
      </c>
      <c r="T177" s="23" t="s">
        <v>0</v>
      </c>
      <c r="U177" s="23"/>
    </row>
    <row r="178" spans="1:21" s="1" customFormat="1" ht="24" customHeight="1">
      <c r="A178" s="24" t="s">
        <v>203</v>
      </c>
      <c r="B178" s="25"/>
      <c r="C178" s="25"/>
      <c r="D178" s="25"/>
      <c r="E178" s="25"/>
      <c r="F178" s="25"/>
      <c r="G178" s="26"/>
      <c r="H178" s="27" t="s">
        <v>25</v>
      </c>
      <c r="I178" s="28"/>
      <c r="J178" s="28"/>
      <c r="K178" s="28"/>
      <c r="L178" s="28"/>
      <c r="M178" s="29"/>
      <c r="N178" s="34">
        <f>280000</f>
        <v>280000</v>
      </c>
      <c r="O178" s="35"/>
      <c r="P178" s="32">
        <f>280000</f>
        <v>280000</v>
      </c>
      <c r="Q178" s="36"/>
      <c r="R178" s="35"/>
      <c r="S178" s="4" t="s">
        <v>19</v>
      </c>
      <c r="T178" s="23" t="s">
        <v>0</v>
      </c>
      <c r="U178" s="23"/>
    </row>
    <row r="179" spans="1:21" s="1" customFormat="1" ht="117.75" customHeight="1">
      <c r="A179" s="24" t="s">
        <v>324</v>
      </c>
      <c r="B179" s="25"/>
      <c r="C179" s="25"/>
      <c r="D179" s="25"/>
      <c r="E179" s="25"/>
      <c r="F179" s="25"/>
      <c r="G179" s="26"/>
      <c r="H179" s="27" t="s">
        <v>325</v>
      </c>
      <c r="I179" s="28"/>
      <c r="J179" s="28"/>
      <c r="K179" s="28"/>
      <c r="L179" s="28"/>
      <c r="M179" s="29"/>
      <c r="N179" s="34">
        <f>1249750</f>
        <v>1249750</v>
      </c>
      <c r="O179" s="35"/>
      <c r="P179" s="32">
        <f>1249750</f>
        <v>1249750</v>
      </c>
      <c r="Q179" s="36"/>
      <c r="R179" s="35"/>
      <c r="S179" s="4" t="s">
        <v>19</v>
      </c>
      <c r="T179" s="23" t="s">
        <v>0</v>
      </c>
      <c r="U179" s="23"/>
    </row>
    <row r="180" spans="1:21" s="1" customFormat="1" ht="13.5" customHeight="1">
      <c r="A180" s="24" t="s">
        <v>326</v>
      </c>
      <c r="B180" s="25"/>
      <c r="C180" s="25"/>
      <c r="D180" s="25"/>
      <c r="E180" s="25"/>
      <c r="F180" s="25"/>
      <c r="G180" s="26"/>
      <c r="H180" s="27" t="s">
        <v>25</v>
      </c>
      <c r="I180" s="28"/>
      <c r="J180" s="28"/>
      <c r="K180" s="28"/>
      <c r="L180" s="28"/>
      <c r="M180" s="29"/>
      <c r="N180" s="34">
        <f>1249750</f>
        <v>1249750</v>
      </c>
      <c r="O180" s="35"/>
      <c r="P180" s="32">
        <f>1249750</f>
        <v>1249750</v>
      </c>
      <c r="Q180" s="36"/>
      <c r="R180" s="35"/>
      <c r="S180" s="4" t="s">
        <v>19</v>
      </c>
      <c r="T180" s="23" t="s">
        <v>0</v>
      </c>
      <c r="U180" s="23"/>
    </row>
    <row r="181" spans="1:21" s="1" customFormat="1" ht="13.5" customHeight="1">
      <c r="A181" s="24" t="s">
        <v>204</v>
      </c>
      <c r="B181" s="25"/>
      <c r="C181" s="25"/>
      <c r="D181" s="25"/>
      <c r="E181" s="25"/>
      <c r="F181" s="25"/>
      <c r="G181" s="26"/>
      <c r="H181" s="27" t="s">
        <v>113</v>
      </c>
      <c r="I181" s="28"/>
      <c r="J181" s="28"/>
      <c r="K181" s="28"/>
      <c r="L181" s="28"/>
      <c r="M181" s="29"/>
      <c r="N181" s="34">
        <f>174990</f>
        <v>174990</v>
      </c>
      <c r="O181" s="35"/>
      <c r="P181" s="32">
        <f>174990</f>
        <v>174990</v>
      </c>
      <c r="Q181" s="36"/>
      <c r="R181" s="35"/>
      <c r="S181" s="4" t="s">
        <v>19</v>
      </c>
      <c r="T181" s="23" t="s">
        <v>0</v>
      </c>
      <c r="U181" s="23"/>
    </row>
    <row r="182" spans="1:21" s="1" customFormat="1" ht="21.75" customHeight="1">
      <c r="A182" s="24" t="s">
        <v>205</v>
      </c>
      <c r="B182" s="25"/>
      <c r="C182" s="25"/>
      <c r="D182" s="25"/>
      <c r="E182" s="25"/>
      <c r="F182" s="25"/>
      <c r="G182" s="26"/>
      <c r="H182" s="27" t="s">
        <v>25</v>
      </c>
      <c r="I182" s="28"/>
      <c r="J182" s="28"/>
      <c r="K182" s="28"/>
      <c r="L182" s="28"/>
      <c r="M182" s="29"/>
      <c r="N182" s="34">
        <f>174990</f>
        <v>174990</v>
      </c>
      <c r="O182" s="35"/>
      <c r="P182" s="32">
        <f>174990</f>
        <v>174990</v>
      </c>
      <c r="Q182" s="36"/>
      <c r="R182" s="35"/>
      <c r="S182" s="4" t="s">
        <v>19</v>
      </c>
      <c r="T182" s="23" t="s">
        <v>0</v>
      </c>
      <c r="U182" s="23"/>
    </row>
    <row r="183" spans="1:21" s="1" customFormat="1" ht="27" customHeight="1">
      <c r="A183" s="24" t="s">
        <v>327</v>
      </c>
      <c r="B183" s="25"/>
      <c r="C183" s="25"/>
      <c r="D183" s="25"/>
      <c r="E183" s="25"/>
      <c r="F183" s="25"/>
      <c r="G183" s="26"/>
      <c r="H183" s="27" t="s">
        <v>333</v>
      </c>
      <c r="I183" s="28"/>
      <c r="J183" s="28"/>
      <c r="K183" s="28"/>
      <c r="L183" s="28"/>
      <c r="M183" s="29"/>
      <c r="N183" s="34">
        <f>50000</f>
        <v>50000</v>
      </c>
      <c r="O183" s="35"/>
      <c r="P183" s="32">
        <f>50000</f>
        <v>50000</v>
      </c>
      <c r="Q183" s="36"/>
      <c r="R183" s="35"/>
      <c r="S183" s="4" t="s">
        <v>19</v>
      </c>
      <c r="T183" s="23" t="s">
        <v>0</v>
      </c>
      <c r="U183" s="23"/>
    </row>
    <row r="184" spans="1:21" s="1" customFormat="1" ht="24" customHeight="1" thickBot="1">
      <c r="A184" s="51" t="s">
        <v>328</v>
      </c>
      <c r="B184" s="52"/>
      <c r="C184" s="52"/>
      <c r="D184" s="52"/>
      <c r="E184" s="52"/>
      <c r="F184" s="52"/>
      <c r="G184" s="53"/>
      <c r="H184" s="54" t="s">
        <v>25</v>
      </c>
      <c r="I184" s="55"/>
      <c r="J184" s="55"/>
      <c r="K184" s="55"/>
      <c r="L184" s="55"/>
      <c r="M184" s="56"/>
      <c r="N184" s="30">
        <f>50000</f>
        <v>50000</v>
      </c>
      <c r="O184" s="31"/>
      <c r="P184" s="32">
        <f>50000</f>
        <v>50000</v>
      </c>
      <c r="Q184" s="33"/>
      <c r="R184" s="31"/>
      <c r="S184" s="4" t="s">
        <v>19</v>
      </c>
      <c r="T184" s="23" t="s">
        <v>0</v>
      </c>
      <c r="U184" s="23"/>
    </row>
    <row r="185" spans="1:21" s="1" customFormat="1" ht="13.5" customHeight="1" thickBot="1">
      <c r="A185" s="41" t="s">
        <v>206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3"/>
      <c r="N185" s="44">
        <f>193990821.62</f>
        <v>193990821.62</v>
      </c>
      <c r="O185" s="45"/>
      <c r="P185" s="46">
        <f>184862302.56</f>
        <v>184862302.56</v>
      </c>
      <c r="Q185" s="47"/>
      <c r="R185" s="45"/>
      <c r="S185" s="5">
        <f>95.29</f>
        <v>95.29</v>
      </c>
      <c r="T185" s="50">
        <f>9128519.06</f>
        <v>9128519.06</v>
      </c>
      <c r="U185" s="50"/>
    </row>
  </sheetData>
  <sheetProtection/>
  <mergeCells count="870">
    <mergeCell ref="P15:R15"/>
    <mergeCell ref="A2:U2"/>
    <mergeCell ref="N17:O17"/>
    <mergeCell ref="P17:R17"/>
    <mergeCell ref="N18:O18"/>
    <mergeCell ref="P18:R18"/>
    <mergeCell ref="N12:O12"/>
    <mergeCell ref="P12:R13"/>
    <mergeCell ref="N13:O13"/>
    <mergeCell ref="N14:O14"/>
    <mergeCell ref="P14:R14"/>
    <mergeCell ref="N15:O15"/>
    <mergeCell ref="N23:O23"/>
    <mergeCell ref="P23:R23"/>
    <mergeCell ref="N24:O24"/>
    <mergeCell ref="P24:R24"/>
    <mergeCell ref="N19:O19"/>
    <mergeCell ref="P19:R19"/>
    <mergeCell ref="N20:O20"/>
    <mergeCell ref="P20:R20"/>
    <mergeCell ref="N21:O21"/>
    <mergeCell ref="P21:R21"/>
    <mergeCell ref="N25:O25"/>
    <mergeCell ref="P25:R25"/>
    <mergeCell ref="N26:O26"/>
    <mergeCell ref="P26:R26"/>
    <mergeCell ref="N27:O27"/>
    <mergeCell ref="P27:R27"/>
    <mergeCell ref="N28:O28"/>
    <mergeCell ref="P28:R28"/>
    <mergeCell ref="N29:O29"/>
    <mergeCell ref="P29:R29"/>
    <mergeCell ref="N30:O30"/>
    <mergeCell ref="P30:R30"/>
    <mergeCell ref="N31:O31"/>
    <mergeCell ref="P31:R31"/>
    <mergeCell ref="N32:O32"/>
    <mergeCell ref="P32:R32"/>
    <mergeCell ref="N33:O33"/>
    <mergeCell ref="P33:R33"/>
    <mergeCell ref="N34:O34"/>
    <mergeCell ref="P34:R34"/>
    <mergeCell ref="N35:O35"/>
    <mergeCell ref="P35:R35"/>
    <mergeCell ref="N36:O36"/>
    <mergeCell ref="P36:R36"/>
    <mergeCell ref="P42:R42"/>
    <mergeCell ref="N37:O37"/>
    <mergeCell ref="P37:R37"/>
    <mergeCell ref="N38:O38"/>
    <mergeCell ref="P38:R38"/>
    <mergeCell ref="N39:O39"/>
    <mergeCell ref="P39:R39"/>
    <mergeCell ref="P43:R43"/>
    <mergeCell ref="N44:O44"/>
    <mergeCell ref="P44:R44"/>
    <mergeCell ref="N45:O45"/>
    <mergeCell ref="P45:R45"/>
    <mergeCell ref="N40:O40"/>
    <mergeCell ref="P40:R40"/>
    <mergeCell ref="N41:O41"/>
    <mergeCell ref="P41:R41"/>
    <mergeCell ref="N42:O42"/>
    <mergeCell ref="P51:R51"/>
    <mergeCell ref="N46:O46"/>
    <mergeCell ref="P46:R46"/>
    <mergeCell ref="N47:O47"/>
    <mergeCell ref="P47:R47"/>
    <mergeCell ref="N48:O48"/>
    <mergeCell ref="P48:R48"/>
    <mergeCell ref="P52:R52"/>
    <mergeCell ref="N53:O53"/>
    <mergeCell ref="P53:R53"/>
    <mergeCell ref="N54:O54"/>
    <mergeCell ref="P54:R54"/>
    <mergeCell ref="N49:O49"/>
    <mergeCell ref="P49:R49"/>
    <mergeCell ref="N50:O50"/>
    <mergeCell ref="P50:R50"/>
    <mergeCell ref="N51:O51"/>
    <mergeCell ref="N55:O55"/>
    <mergeCell ref="P55:R55"/>
    <mergeCell ref="N56:O56"/>
    <mergeCell ref="P56:R56"/>
    <mergeCell ref="N57:O57"/>
    <mergeCell ref="P57:R57"/>
    <mergeCell ref="N63:O63"/>
    <mergeCell ref="P63:R63"/>
    <mergeCell ref="N58:O58"/>
    <mergeCell ref="P58:R58"/>
    <mergeCell ref="N59:O59"/>
    <mergeCell ref="P59:R59"/>
    <mergeCell ref="N60:O60"/>
    <mergeCell ref="P60:R60"/>
    <mergeCell ref="N64:O64"/>
    <mergeCell ref="P64:R64"/>
    <mergeCell ref="N65:O65"/>
    <mergeCell ref="P65:R65"/>
    <mergeCell ref="N66:O66"/>
    <mergeCell ref="P66:R66"/>
    <mergeCell ref="N68:O68"/>
    <mergeCell ref="P68:R68"/>
    <mergeCell ref="N69:O69"/>
    <mergeCell ref="P69:R69"/>
    <mergeCell ref="N70:O70"/>
    <mergeCell ref="P70:R70"/>
    <mergeCell ref="P75:R75"/>
    <mergeCell ref="N76:O76"/>
    <mergeCell ref="P76:R76"/>
    <mergeCell ref="N71:O71"/>
    <mergeCell ref="P71:R71"/>
    <mergeCell ref="N72:O72"/>
    <mergeCell ref="P72:R72"/>
    <mergeCell ref="N73:O73"/>
    <mergeCell ref="P73:R73"/>
    <mergeCell ref="T185:U185"/>
    <mergeCell ref="A184:G184"/>
    <mergeCell ref="H184:M184"/>
    <mergeCell ref="A183:G183"/>
    <mergeCell ref="H183:M183"/>
    <mergeCell ref="N77:O77"/>
    <mergeCell ref="P77:R77"/>
    <mergeCell ref="N78:O78"/>
    <mergeCell ref="A185:M185"/>
    <mergeCell ref="N185:O185"/>
    <mergeCell ref="P185:R185"/>
    <mergeCell ref="T184:U184"/>
    <mergeCell ref="T182:U182"/>
    <mergeCell ref="P78:R78"/>
    <mergeCell ref="N79:O79"/>
    <mergeCell ref="P79:R79"/>
    <mergeCell ref="N80:O80"/>
    <mergeCell ref="P80:R80"/>
    <mergeCell ref="N81:O81"/>
    <mergeCell ref="T181:U181"/>
    <mergeCell ref="A180:G180"/>
    <mergeCell ref="H180:M180"/>
    <mergeCell ref="T183:U183"/>
    <mergeCell ref="A182:G182"/>
    <mergeCell ref="H182:M182"/>
    <mergeCell ref="A181:G181"/>
    <mergeCell ref="H181:M181"/>
    <mergeCell ref="N180:O180"/>
    <mergeCell ref="A179:G179"/>
    <mergeCell ref="H179:M179"/>
    <mergeCell ref="P81:R81"/>
    <mergeCell ref="N82:O82"/>
    <mergeCell ref="P82:R82"/>
    <mergeCell ref="N83:O83"/>
    <mergeCell ref="P83:R83"/>
    <mergeCell ref="N84:O84"/>
    <mergeCell ref="H177:M177"/>
    <mergeCell ref="P84:R84"/>
    <mergeCell ref="T180:U180"/>
    <mergeCell ref="T178:U178"/>
    <mergeCell ref="T177:U177"/>
    <mergeCell ref="A176:G176"/>
    <mergeCell ref="H176:M176"/>
    <mergeCell ref="T179:U179"/>
    <mergeCell ref="A178:G178"/>
    <mergeCell ref="H178:M178"/>
    <mergeCell ref="N176:O176"/>
    <mergeCell ref="A177:G177"/>
    <mergeCell ref="P85:R85"/>
    <mergeCell ref="N86:O86"/>
    <mergeCell ref="P86:R86"/>
    <mergeCell ref="N87:O87"/>
    <mergeCell ref="A175:G175"/>
    <mergeCell ref="H175:M175"/>
    <mergeCell ref="A172:G172"/>
    <mergeCell ref="H172:M172"/>
    <mergeCell ref="A174:G174"/>
    <mergeCell ref="T176:U176"/>
    <mergeCell ref="P87:R87"/>
    <mergeCell ref="N88:O88"/>
    <mergeCell ref="P88:R88"/>
    <mergeCell ref="N89:O89"/>
    <mergeCell ref="P89:R89"/>
    <mergeCell ref="T174:U174"/>
    <mergeCell ref="T173:U173"/>
    <mergeCell ref="T175:U175"/>
    <mergeCell ref="N90:O90"/>
    <mergeCell ref="H174:M174"/>
    <mergeCell ref="A173:G173"/>
    <mergeCell ref="N172:O172"/>
    <mergeCell ref="H173:M173"/>
    <mergeCell ref="A171:G171"/>
    <mergeCell ref="H171:M171"/>
    <mergeCell ref="N174:O174"/>
    <mergeCell ref="P90:R90"/>
    <mergeCell ref="N91:O91"/>
    <mergeCell ref="P91:R91"/>
    <mergeCell ref="N92:O92"/>
    <mergeCell ref="T172:U172"/>
    <mergeCell ref="T170:U170"/>
    <mergeCell ref="T169:U169"/>
    <mergeCell ref="P92:R92"/>
    <mergeCell ref="N93:O93"/>
    <mergeCell ref="P93:R93"/>
    <mergeCell ref="T171:U171"/>
    <mergeCell ref="A170:G170"/>
    <mergeCell ref="H170:M170"/>
    <mergeCell ref="N168:O168"/>
    <mergeCell ref="A169:G169"/>
    <mergeCell ref="H169:M169"/>
    <mergeCell ref="P168:R168"/>
    <mergeCell ref="N169:O169"/>
    <mergeCell ref="A167:G167"/>
    <mergeCell ref="H167:M167"/>
    <mergeCell ref="T168:U168"/>
    <mergeCell ref="P95:R95"/>
    <mergeCell ref="N96:O96"/>
    <mergeCell ref="P96:R96"/>
    <mergeCell ref="N97:O97"/>
    <mergeCell ref="A168:G168"/>
    <mergeCell ref="H168:M168"/>
    <mergeCell ref="P97:R97"/>
    <mergeCell ref="T166:U166"/>
    <mergeCell ref="T165:U165"/>
    <mergeCell ref="A164:G164"/>
    <mergeCell ref="H164:M164"/>
    <mergeCell ref="T167:U167"/>
    <mergeCell ref="A166:G166"/>
    <mergeCell ref="H166:M166"/>
    <mergeCell ref="A165:G165"/>
    <mergeCell ref="N164:O164"/>
    <mergeCell ref="H165:M165"/>
    <mergeCell ref="A163:G163"/>
    <mergeCell ref="H163:M163"/>
    <mergeCell ref="N98:O98"/>
    <mergeCell ref="P98:R98"/>
    <mergeCell ref="N99:O99"/>
    <mergeCell ref="P99:R99"/>
    <mergeCell ref="N100:O100"/>
    <mergeCell ref="H161:M161"/>
    <mergeCell ref="P100:R100"/>
    <mergeCell ref="T164:U164"/>
    <mergeCell ref="T162:U162"/>
    <mergeCell ref="T161:U161"/>
    <mergeCell ref="A160:G160"/>
    <mergeCell ref="H160:M160"/>
    <mergeCell ref="T163:U163"/>
    <mergeCell ref="A162:G162"/>
    <mergeCell ref="H162:M162"/>
    <mergeCell ref="N160:O160"/>
    <mergeCell ref="A161:G161"/>
    <mergeCell ref="N101:O101"/>
    <mergeCell ref="P101:R101"/>
    <mergeCell ref="N102:O102"/>
    <mergeCell ref="P102:R102"/>
    <mergeCell ref="N103:O103"/>
    <mergeCell ref="A159:G159"/>
    <mergeCell ref="H159:M159"/>
    <mergeCell ref="A156:G156"/>
    <mergeCell ref="H156:M156"/>
    <mergeCell ref="A158:G158"/>
    <mergeCell ref="T160:U160"/>
    <mergeCell ref="P103:R103"/>
    <mergeCell ref="N104:O104"/>
    <mergeCell ref="P104:R104"/>
    <mergeCell ref="N105:O105"/>
    <mergeCell ref="P105:R105"/>
    <mergeCell ref="T158:U158"/>
    <mergeCell ref="T157:U157"/>
    <mergeCell ref="T159:U159"/>
    <mergeCell ref="N106:O106"/>
    <mergeCell ref="H158:M158"/>
    <mergeCell ref="A157:G157"/>
    <mergeCell ref="N156:O156"/>
    <mergeCell ref="H157:M157"/>
    <mergeCell ref="A155:G155"/>
    <mergeCell ref="H155:M155"/>
    <mergeCell ref="N158:O158"/>
    <mergeCell ref="N108:O108"/>
    <mergeCell ref="T156:U156"/>
    <mergeCell ref="T154:U154"/>
    <mergeCell ref="T153:U153"/>
    <mergeCell ref="P108:R108"/>
    <mergeCell ref="N109:O109"/>
    <mergeCell ref="P109:R109"/>
    <mergeCell ref="A152:G152"/>
    <mergeCell ref="H152:M152"/>
    <mergeCell ref="T155:U155"/>
    <mergeCell ref="A154:G154"/>
    <mergeCell ref="H154:M154"/>
    <mergeCell ref="N152:O152"/>
    <mergeCell ref="A153:G153"/>
    <mergeCell ref="H153:M153"/>
    <mergeCell ref="P152:R152"/>
    <mergeCell ref="N153:O153"/>
    <mergeCell ref="N110:O110"/>
    <mergeCell ref="P110:R110"/>
    <mergeCell ref="N111:O111"/>
    <mergeCell ref="A151:G151"/>
    <mergeCell ref="H151:M151"/>
    <mergeCell ref="T152:U152"/>
    <mergeCell ref="P111:R111"/>
    <mergeCell ref="N112:O112"/>
    <mergeCell ref="P112:R112"/>
    <mergeCell ref="N113:O113"/>
    <mergeCell ref="P113:R113"/>
    <mergeCell ref="T150:U150"/>
    <mergeCell ref="T149:U149"/>
    <mergeCell ref="A148:G148"/>
    <mergeCell ref="H148:M148"/>
    <mergeCell ref="T151:U151"/>
    <mergeCell ref="A150:G150"/>
    <mergeCell ref="H150:M150"/>
    <mergeCell ref="A149:G149"/>
    <mergeCell ref="N148:O148"/>
    <mergeCell ref="H149:M149"/>
    <mergeCell ref="A147:G147"/>
    <mergeCell ref="H147:M147"/>
    <mergeCell ref="N114:O114"/>
    <mergeCell ref="P114:R114"/>
    <mergeCell ref="N115:O115"/>
    <mergeCell ref="P115:R115"/>
    <mergeCell ref="N116:O116"/>
    <mergeCell ref="H145:M145"/>
    <mergeCell ref="P116:R116"/>
    <mergeCell ref="T148:U148"/>
    <mergeCell ref="T146:U146"/>
    <mergeCell ref="T145:U145"/>
    <mergeCell ref="A144:G144"/>
    <mergeCell ref="H144:M144"/>
    <mergeCell ref="T147:U147"/>
    <mergeCell ref="A146:G146"/>
    <mergeCell ref="H146:M146"/>
    <mergeCell ref="N144:O144"/>
    <mergeCell ref="A145:G145"/>
    <mergeCell ref="P118:R118"/>
    <mergeCell ref="N119:O119"/>
    <mergeCell ref="A143:G143"/>
    <mergeCell ref="H143:M143"/>
    <mergeCell ref="A140:G140"/>
    <mergeCell ref="H140:M140"/>
    <mergeCell ref="A142:G142"/>
    <mergeCell ref="T144:U144"/>
    <mergeCell ref="P119:R119"/>
    <mergeCell ref="N120:O120"/>
    <mergeCell ref="P120:R120"/>
    <mergeCell ref="N121:O121"/>
    <mergeCell ref="P121:R121"/>
    <mergeCell ref="T142:U142"/>
    <mergeCell ref="T141:U141"/>
    <mergeCell ref="T143:U143"/>
    <mergeCell ref="N122:O122"/>
    <mergeCell ref="H142:M142"/>
    <mergeCell ref="A141:G141"/>
    <mergeCell ref="N140:O140"/>
    <mergeCell ref="H141:M141"/>
    <mergeCell ref="A139:G139"/>
    <mergeCell ref="H139:M139"/>
    <mergeCell ref="N141:O141"/>
    <mergeCell ref="P122:R122"/>
    <mergeCell ref="N123:O123"/>
    <mergeCell ref="P123:R123"/>
    <mergeCell ref="N124:O124"/>
    <mergeCell ref="T140:U140"/>
    <mergeCell ref="T138:U138"/>
    <mergeCell ref="T137:U137"/>
    <mergeCell ref="P124:R124"/>
    <mergeCell ref="N125:O125"/>
    <mergeCell ref="P125:R125"/>
    <mergeCell ref="H136:M136"/>
    <mergeCell ref="T139:U139"/>
    <mergeCell ref="A138:G138"/>
    <mergeCell ref="H138:M138"/>
    <mergeCell ref="N136:O136"/>
    <mergeCell ref="A137:G137"/>
    <mergeCell ref="H137:M137"/>
    <mergeCell ref="N137:O137"/>
    <mergeCell ref="P137:R137"/>
    <mergeCell ref="P126:R126"/>
    <mergeCell ref="N127:O127"/>
    <mergeCell ref="A135:G135"/>
    <mergeCell ref="H135:M135"/>
    <mergeCell ref="T136:U136"/>
    <mergeCell ref="P127:R127"/>
    <mergeCell ref="N128:O128"/>
    <mergeCell ref="P128:R128"/>
    <mergeCell ref="N129:O129"/>
    <mergeCell ref="A136:G136"/>
    <mergeCell ref="A132:G132"/>
    <mergeCell ref="H132:M132"/>
    <mergeCell ref="T135:U135"/>
    <mergeCell ref="A134:G134"/>
    <mergeCell ref="H134:M134"/>
    <mergeCell ref="A133:G133"/>
    <mergeCell ref="N132:O132"/>
    <mergeCell ref="H133:M133"/>
    <mergeCell ref="A131:G131"/>
    <mergeCell ref="H131:M131"/>
    <mergeCell ref="N130:O130"/>
    <mergeCell ref="P130:R130"/>
    <mergeCell ref="N131:O131"/>
    <mergeCell ref="P131:R131"/>
    <mergeCell ref="P132:R132"/>
    <mergeCell ref="N133:O133"/>
    <mergeCell ref="P133:R133"/>
    <mergeCell ref="A128:G128"/>
    <mergeCell ref="H128:M128"/>
    <mergeCell ref="T131:U131"/>
    <mergeCell ref="A130:G130"/>
    <mergeCell ref="H130:M130"/>
    <mergeCell ref="A129:G129"/>
    <mergeCell ref="H129:M129"/>
    <mergeCell ref="P129:R129"/>
    <mergeCell ref="T128:U128"/>
    <mergeCell ref="N134:O134"/>
    <mergeCell ref="P134:R134"/>
    <mergeCell ref="T126:U126"/>
    <mergeCell ref="T132:U132"/>
    <mergeCell ref="T130:U130"/>
    <mergeCell ref="T129:U129"/>
    <mergeCell ref="T134:U134"/>
    <mergeCell ref="T133:U133"/>
    <mergeCell ref="N126:O126"/>
    <mergeCell ref="T125:U125"/>
    <mergeCell ref="A124:G124"/>
    <mergeCell ref="H124:M124"/>
    <mergeCell ref="T127:U127"/>
    <mergeCell ref="A126:G126"/>
    <mergeCell ref="H126:M126"/>
    <mergeCell ref="A125:G125"/>
    <mergeCell ref="H125:M125"/>
    <mergeCell ref="A127:G127"/>
    <mergeCell ref="H127:M127"/>
    <mergeCell ref="A123:G123"/>
    <mergeCell ref="H123:M123"/>
    <mergeCell ref="N135:O135"/>
    <mergeCell ref="P135:R135"/>
    <mergeCell ref="H67:M67"/>
    <mergeCell ref="T124:U124"/>
    <mergeCell ref="T122:U122"/>
    <mergeCell ref="T121:U121"/>
    <mergeCell ref="A120:G120"/>
    <mergeCell ref="H120:M120"/>
    <mergeCell ref="T120:U120"/>
    <mergeCell ref="N138:O138"/>
    <mergeCell ref="P138:R138"/>
    <mergeCell ref="T118:U118"/>
    <mergeCell ref="T123:U123"/>
    <mergeCell ref="A122:G122"/>
    <mergeCell ref="H122:M122"/>
    <mergeCell ref="A121:G121"/>
    <mergeCell ref="H121:M121"/>
    <mergeCell ref="P136:R136"/>
    <mergeCell ref="T119:U119"/>
    <mergeCell ref="A118:G118"/>
    <mergeCell ref="H118:M118"/>
    <mergeCell ref="A117:G117"/>
    <mergeCell ref="H117:M117"/>
    <mergeCell ref="A119:G119"/>
    <mergeCell ref="H119:M119"/>
    <mergeCell ref="N117:O117"/>
    <mergeCell ref="P117:R117"/>
    <mergeCell ref="N118:O118"/>
    <mergeCell ref="P139:R139"/>
    <mergeCell ref="P67:Q67"/>
    <mergeCell ref="T116:U116"/>
    <mergeCell ref="T114:U114"/>
    <mergeCell ref="T113:U113"/>
    <mergeCell ref="A112:G112"/>
    <mergeCell ref="H112:M112"/>
    <mergeCell ref="T117:U117"/>
    <mergeCell ref="A116:G116"/>
    <mergeCell ref="H116:M116"/>
    <mergeCell ref="N142:O142"/>
    <mergeCell ref="P142:R142"/>
    <mergeCell ref="A67:G67"/>
    <mergeCell ref="T110:U110"/>
    <mergeCell ref="T109:U109"/>
    <mergeCell ref="T115:U115"/>
    <mergeCell ref="A114:G114"/>
    <mergeCell ref="H114:M114"/>
    <mergeCell ref="A113:G113"/>
    <mergeCell ref="H113:M113"/>
    <mergeCell ref="H109:M109"/>
    <mergeCell ref="P141:R141"/>
    <mergeCell ref="T67:U67"/>
    <mergeCell ref="A111:G111"/>
    <mergeCell ref="H111:M111"/>
    <mergeCell ref="T112:U112"/>
    <mergeCell ref="P140:R140"/>
    <mergeCell ref="A115:G115"/>
    <mergeCell ref="H115:M115"/>
    <mergeCell ref="N139:O139"/>
    <mergeCell ref="N143:O143"/>
    <mergeCell ref="P143:R143"/>
    <mergeCell ref="T108:U108"/>
    <mergeCell ref="T106:U106"/>
    <mergeCell ref="A108:G108"/>
    <mergeCell ref="H108:M108"/>
    <mergeCell ref="T111:U111"/>
    <mergeCell ref="A110:G110"/>
    <mergeCell ref="H110:M110"/>
    <mergeCell ref="A109:G109"/>
    <mergeCell ref="T107:U107"/>
    <mergeCell ref="A106:G106"/>
    <mergeCell ref="H106:M106"/>
    <mergeCell ref="A105:G105"/>
    <mergeCell ref="H105:M105"/>
    <mergeCell ref="A107:G107"/>
    <mergeCell ref="H107:M107"/>
    <mergeCell ref="P106:R106"/>
    <mergeCell ref="N107:O107"/>
    <mergeCell ref="P107:R107"/>
    <mergeCell ref="A102:G102"/>
    <mergeCell ref="H102:M102"/>
    <mergeCell ref="A101:G101"/>
    <mergeCell ref="P144:R144"/>
    <mergeCell ref="N145:O145"/>
    <mergeCell ref="P145:R145"/>
    <mergeCell ref="A103:G103"/>
    <mergeCell ref="H103:M103"/>
    <mergeCell ref="A104:G104"/>
    <mergeCell ref="H104:M104"/>
    <mergeCell ref="N147:O147"/>
    <mergeCell ref="P147:R147"/>
    <mergeCell ref="T100:U100"/>
    <mergeCell ref="N146:O146"/>
    <mergeCell ref="P146:R146"/>
    <mergeCell ref="T102:U102"/>
    <mergeCell ref="T101:U101"/>
    <mergeCell ref="T103:U103"/>
    <mergeCell ref="T104:U104"/>
    <mergeCell ref="T105:U105"/>
    <mergeCell ref="T99:U99"/>
    <mergeCell ref="A98:G98"/>
    <mergeCell ref="H98:M98"/>
    <mergeCell ref="A97:G97"/>
    <mergeCell ref="H97:M97"/>
    <mergeCell ref="H101:M101"/>
    <mergeCell ref="A99:G99"/>
    <mergeCell ref="H99:M99"/>
    <mergeCell ref="A100:G100"/>
    <mergeCell ref="H100:M100"/>
    <mergeCell ref="P148:R148"/>
    <mergeCell ref="N149:O149"/>
    <mergeCell ref="P149:R149"/>
    <mergeCell ref="A95:G95"/>
    <mergeCell ref="H95:M95"/>
    <mergeCell ref="T96:U96"/>
    <mergeCell ref="T98:U98"/>
    <mergeCell ref="T97:U97"/>
    <mergeCell ref="A96:G96"/>
    <mergeCell ref="H96:M96"/>
    <mergeCell ref="A92:G92"/>
    <mergeCell ref="H92:M92"/>
    <mergeCell ref="T95:U95"/>
    <mergeCell ref="A94:G94"/>
    <mergeCell ref="H94:M94"/>
    <mergeCell ref="A93:G93"/>
    <mergeCell ref="N94:O94"/>
    <mergeCell ref="P94:R94"/>
    <mergeCell ref="N95:O95"/>
    <mergeCell ref="H93:M93"/>
    <mergeCell ref="A91:G91"/>
    <mergeCell ref="H91:M91"/>
    <mergeCell ref="N151:O151"/>
    <mergeCell ref="P151:R151"/>
    <mergeCell ref="T92:U92"/>
    <mergeCell ref="N150:O150"/>
    <mergeCell ref="P150:R150"/>
    <mergeCell ref="T94:U94"/>
    <mergeCell ref="T93:U93"/>
    <mergeCell ref="P154:R154"/>
    <mergeCell ref="T90:U90"/>
    <mergeCell ref="T89:U89"/>
    <mergeCell ref="A88:G88"/>
    <mergeCell ref="H88:M88"/>
    <mergeCell ref="T91:U91"/>
    <mergeCell ref="A90:G90"/>
    <mergeCell ref="H90:M90"/>
    <mergeCell ref="A89:G89"/>
    <mergeCell ref="H89:M89"/>
    <mergeCell ref="A84:G84"/>
    <mergeCell ref="H84:M84"/>
    <mergeCell ref="T87:U87"/>
    <mergeCell ref="A86:G86"/>
    <mergeCell ref="H86:M86"/>
    <mergeCell ref="A85:G85"/>
    <mergeCell ref="H85:M85"/>
    <mergeCell ref="A87:G87"/>
    <mergeCell ref="H87:M87"/>
    <mergeCell ref="N85:O85"/>
    <mergeCell ref="H83:M83"/>
    <mergeCell ref="N155:O155"/>
    <mergeCell ref="P155:R155"/>
    <mergeCell ref="T84:U84"/>
    <mergeCell ref="T82:U82"/>
    <mergeCell ref="T86:U86"/>
    <mergeCell ref="T85:U85"/>
    <mergeCell ref="P153:R153"/>
    <mergeCell ref="T88:U88"/>
    <mergeCell ref="N154:O154"/>
    <mergeCell ref="T80:U80"/>
    <mergeCell ref="T81:U81"/>
    <mergeCell ref="A80:G80"/>
    <mergeCell ref="H80:M80"/>
    <mergeCell ref="T83:U83"/>
    <mergeCell ref="A82:G82"/>
    <mergeCell ref="H82:M82"/>
    <mergeCell ref="A81:G81"/>
    <mergeCell ref="H81:M81"/>
    <mergeCell ref="A83:G83"/>
    <mergeCell ref="A76:G76"/>
    <mergeCell ref="H76:M76"/>
    <mergeCell ref="T79:U79"/>
    <mergeCell ref="A78:G78"/>
    <mergeCell ref="H78:M78"/>
    <mergeCell ref="A77:G77"/>
    <mergeCell ref="H77:M77"/>
    <mergeCell ref="A79:G79"/>
    <mergeCell ref="H79:M79"/>
    <mergeCell ref="N159:O159"/>
    <mergeCell ref="P159:R159"/>
    <mergeCell ref="T76:U76"/>
    <mergeCell ref="T74:U74"/>
    <mergeCell ref="P158:R158"/>
    <mergeCell ref="T78:U78"/>
    <mergeCell ref="T77:U77"/>
    <mergeCell ref="P156:R156"/>
    <mergeCell ref="N157:O157"/>
    <mergeCell ref="P157:R157"/>
    <mergeCell ref="T75:U75"/>
    <mergeCell ref="A74:G74"/>
    <mergeCell ref="H74:M74"/>
    <mergeCell ref="A73:G73"/>
    <mergeCell ref="H73:M73"/>
    <mergeCell ref="A75:G75"/>
    <mergeCell ref="H75:M75"/>
    <mergeCell ref="N74:O74"/>
    <mergeCell ref="P74:R74"/>
    <mergeCell ref="N75:O75"/>
    <mergeCell ref="A70:G70"/>
    <mergeCell ref="H70:M70"/>
    <mergeCell ref="A69:G69"/>
    <mergeCell ref="P160:R160"/>
    <mergeCell ref="N161:O161"/>
    <mergeCell ref="P161:R161"/>
    <mergeCell ref="A71:G71"/>
    <mergeCell ref="H71:M71"/>
    <mergeCell ref="A72:G72"/>
    <mergeCell ref="H72:M72"/>
    <mergeCell ref="N163:O163"/>
    <mergeCell ref="P163:R163"/>
    <mergeCell ref="T68:U68"/>
    <mergeCell ref="N162:O162"/>
    <mergeCell ref="P162:R162"/>
    <mergeCell ref="T70:U70"/>
    <mergeCell ref="T69:U69"/>
    <mergeCell ref="T71:U71"/>
    <mergeCell ref="T72:U72"/>
    <mergeCell ref="T73:U73"/>
    <mergeCell ref="T66:U66"/>
    <mergeCell ref="A65:G65"/>
    <mergeCell ref="H65:M65"/>
    <mergeCell ref="A64:G64"/>
    <mergeCell ref="H64:M64"/>
    <mergeCell ref="H69:M69"/>
    <mergeCell ref="A66:G66"/>
    <mergeCell ref="H66:M66"/>
    <mergeCell ref="A68:G68"/>
    <mergeCell ref="H68:M68"/>
    <mergeCell ref="P164:R164"/>
    <mergeCell ref="N165:O165"/>
    <mergeCell ref="P165:R165"/>
    <mergeCell ref="A62:G62"/>
    <mergeCell ref="H62:M62"/>
    <mergeCell ref="T63:U63"/>
    <mergeCell ref="T65:U65"/>
    <mergeCell ref="T64:U64"/>
    <mergeCell ref="A63:G63"/>
    <mergeCell ref="H63:M63"/>
    <mergeCell ref="A59:G59"/>
    <mergeCell ref="H59:M59"/>
    <mergeCell ref="T62:U62"/>
    <mergeCell ref="A61:G61"/>
    <mergeCell ref="H61:M61"/>
    <mergeCell ref="A60:G60"/>
    <mergeCell ref="N61:O61"/>
    <mergeCell ref="P61:R61"/>
    <mergeCell ref="N62:O62"/>
    <mergeCell ref="P62:R62"/>
    <mergeCell ref="H60:M60"/>
    <mergeCell ref="A58:G58"/>
    <mergeCell ref="H58:M58"/>
    <mergeCell ref="N167:O167"/>
    <mergeCell ref="P167:R167"/>
    <mergeCell ref="T59:U59"/>
    <mergeCell ref="N166:O166"/>
    <mergeCell ref="P166:R166"/>
    <mergeCell ref="T61:U61"/>
    <mergeCell ref="T60:U60"/>
    <mergeCell ref="P170:R170"/>
    <mergeCell ref="T57:U57"/>
    <mergeCell ref="T56:U56"/>
    <mergeCell ref="A55:G55"/>
    <mergeCell ref="H55:M55"/>
    <mergeCell ref="T58:U58"/>
    <mergeCell ref="A57:G57"/>
    <mergeCell ref="H57:M57"/>
    <mergeCell ref="A56:G56"/>
    <mergeCell ref="H56:M56"/>
    <mergeCell ref="A51:G51"/>
    <mergeCell ref="H51:M51"/>
    <mergeCell ref="T54:U54"/>
    <mergeCell ref="A53:G53"/>
    <mergeCell ref="H53:M53"/>
    <mergeCell ref="A52:G52"/>
    <mergeCell ref="H52:M52"/>
    <mergeCell ref="A54:G54"/>
    <mergeCell ref="H54:M54"/>
    <mergeCell ref="N52:O52"/>
    <mergeCell ref="H50:M50"/>
    <mergeCell ref="N171:O171"/>
    <mergeCell ref="P171:R171"/>
    <mergeCell ref="T51:U51"/>
    <mergeCell ref="T49:U49"/>
    <mergeCell ref="T53:U53"/>
    <mergeCell ref="T52:U52"/>
    <mergeCell ref="P169:R169"/>
    <mergeCell ref="T55:U55"/>
    <mergeCell ref="N170:O170"/>
    <mergeCell ref="T47:U47"/>
    <mergeCell ref="T48:U48"/>
    <mergeCell ref="A47:G47"/>
    <mergeCell ref="H47:M47"/>
    <mergeCell ref="T50:U50"/>
    <mergeCell ref="A49:G49"/>
    <mergeCell ref="H49:M49"/>
    <mergeCell ref="A48:G48"/>
    <mergeCell ref="H48:M48"/>
    <mergeCell ref="A50:G50"/>
    <mergeCell ref="A43:G43"/>
    <mergeCell ref="H43:M43"/>
    <mergeCell ref="T46:U46"/>
    <mergeCell ref="A45:G45"/>
    <mergeCell ref="H45:M45"/>
    <mergeCell ref="A44:G44"/>
    <mergeCell ref="H44:M44"/>
    <mergeCell ref="A46:G46"/>
    <mergeCell ref="H46:M46"/>
    <mergeCell ref="N43:O43"/>
    <mergeCell ref="N175:O175"/>
    <mergeCell ref="P175:R175"/>
    <mergeCell ref="T43:U43"/>
    <mergeCell ref="T41:U41"/>
    <mergeCell ref="P174:R174"/>
    <mergeCell ref="T45:U45"/>
    <mergeCell ref="T44:U44"/>
    <mergeCell ref="P172:R172"/>
    <mergeCell ref="N173:O173"/>
    <mergeCell ref="P173:R173"/>
    <mergeCell ref="T40:U40"/>
    <mergeCell ref="A39:G39"/>
    <mergeCell ref="H39:M39"/>
    <mergeCell ref="T42:U42"/>
    <mergeCell ref="A41:G41"/>
    <mergeCell ref="H41:M41"/>
    <mergeCell ref="A40:G40"/>
    <mergeCell ref="H40:M40"/>
    <mergeCell ref="A42:G42"/>
    <mergeCell ref="H42:M42"/>
    <mergeCell ref="A35:G35"/>
    <mergeCell ref="H35:M35"/>
    <mergeCell ref="T38:U38"/>
    <mergeCell ref="A37:G37"/>
    <mergeCell ref="H37:M37"/>
    <mergeCell ref="A36:G36"/>
    <mergeCell ref="A38:G38"/>
    <mergeCell ref="H38:M38"/>
    <mergeCell ref="P179:R179"/>
    <mergeCell ref="T35:U35"/>
    <mergeCell ref="N178:O178"/>
    <mergeCell ref="P178:R178"/>
    <mergeCell ref="T37:U37"/>
    <mergeCell ref="T36:U36"/>
    <mergeCell ref="P176:R176"/>
    <mergeCell ref="N177:O177"/>
    <mergeCell ref="P177:R177"/>
    <mergeCell ref="T39:U39"/>
    <mergeCell ref="T32:U32"/>
    <mergeCell ref="A31:G31"/>
    <mergeCell ref="H31:M31"/>
    <mergeCell ref="T34:U34"/>
    <mergeCell ref="A33:G33"/>
    <mergeCell ref="H33:M33"/>
    <mergeCell ref="A32:G32"/>
    <mergeCell ref="H32:M32"/>
    <mergeCell ref="A34:G34"/>
    <mergeCell ref="H34:M34"/>
    <mergeCell ref="A29:G29"/>
    <mergeCell ref="H29:M29"/>
    <mergeCell ref="A28:G28"/>
    <mergeCell ref="P180:R180"/>
    <mergeCell ref="N181:O181"/>
    <mergeCell ref="P181:R181"/>
    <mergeCell ref="A30:G30"/>
    <mergeCell ref="H30:M30"/>
    <mergeCell ref="H36:M36"/>
    <mergeCell ref="N179:O179"/>
    <mergeCell ref="N183:O183"/>
    <mergeCell ref="P183:R183"/>
    <mergeCell ref="T27:U27"/>
    <mergeCell ref="N182:O182"/>
    <mergeCell ref="P182:R182"/>
    <mergeCell ref="T29:U29"/>
    <mergeCell ref="T28:U28"/>
    <mergeCell ref="T30:U30"/>
    <mergeCell ref="T31:U31"/>
    <mergeCell ref="T33:U33"/>
    <mergeCell ref="T26:U26"/>
    <mergeCell ref="A25:G25"/>
    <mergeCell ref="H25:M25"/>
    <mergeCell ref="A24:G24"/>
    <mergeCell ref="H24:M24"/>
    <mergeCell ref="H28:M28"/>
    <mergeCell ref="A26:G26"/>
    <mergeCell ref="H26:M26"/>
    <mergeCell ref="A27:G27"/>
    <mergeCell ref="H27:M27"/>
    <mergeCell ref="N184:O184"/>
    <mergeCell ref="P184:R184"/>
    <mergeCell ref="A22:G22"/>
    <mergeCell ref="H22:M22"/>
    <mergeCell ref="T23:U23"/>
    <mergeCell ref="T21:U21"/>
    <mergeCell ref="T25:U25"/>
    <mergeCell ref="T24:U24"/>
    <mergeCell ref="A23:G23"/>
    <mergeCell ref="H23:M23"/>
    <mergeCell ref="T20:U20"/>
    <mergeCell ref="A19:G19"/>
    <mergeCell ref="H19:M19"/>
    <mergeCell ref="T22:U22"/>
    <mergeCell ref="A21:G21"/>
    <mergeCell ref="H21:M21"/>
    <mergeCell ref="A20:G20"/>
    <mergeCell ref="H20:M20"/>
    <mergeCell ref="N22:O22"/>
    <mergeCell ref="P22:R22"/>
    <mergeCell ref="A18:G18"/>
    <mergeCell ref="H18:M18"/>
    <mergeCell ref="T19:U19"/>
    <mergeCell ref="T17:U17"/>
    <mergeCell ref="T16:U16"/>
    <mergeCell ref="A15:G15"/>
    <mergeCell ref="H15:M15"/>
    <mergeCell ref="T18:U18"/>
    <mergeCell ref="A17:G17"/>
    <mergeCell ref="H17:M17"/>
    <mergeCell ref="A16:G16"/>
    <mergeCell ref="H16:M16"/>
    <mergeCell ref="T12:U12"/>
    <mergeCell ref="T13:U13"/>
    <mergeCell ref="T14:U14"/>
    <mergeCell ref="T15:U15"/>
    <mergeCell ref="H14:M14"/>
    <mergeCell ref="A14:G14"/>
    <mergeCell ref="N16:O16"/>
    <mergeCell ref="P16:R16"/>
    <mergeCell ref="A1:U1"/>
    <mergeCell ref="A3:U6"/>
    <mergeCell ref="A12:G13"/>
    <mergeCell ref="H12:M13"/>
    <mergeCell ref="A11:U11"/>
    <mergeCell ref="A7:U10"/>
  </mergeCells>
  <printOptions/>
  <pageMargins left="0.3937007874015748" right="0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Пользователь</cp:lastModifiedBy>
  <cp:lastPrinted>2024-03-27T07:06:15Z</cp:lastPrinted>
  <dcterms:created xsi:type="dcterms:W3CDTF">2023-01-26T13:09:08Z</dcterms:created>
  <dcterms:modified xsi:type="dcterms:W3CDTF">2024-03-27T07:06:17Z</dcterms:modified>
  <cp:category/>
  <cp:version/>
  <cp:contentType/>
  <cp:contentStatus/>
</cp:coreProperties>
</file>